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3.xml" ContentType="application/vnd.openxmlformats-officedocument.drawingml.chart+xml"/>
  <Override PartName="/xl/tables/table1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davidsmith/Dropbox/ADMIN/Marketing/Website/Downloads/"/>
    </mc:Choice>
  </mc:AlternateContent>
  <xr:revisionPtr revIDLastSave="0" documentId="13_ncr:1_{C059545D-1A9B-7644-9138-F4888FF4CB58}" xr6:coauthVersionLast="36" xr6:coauthVersionMax="36" xr10:uidLastSave="{00000000-0000-0000-0000-000000000000}"/>
  <workbookProtection workbookAlgorithmName="SHA-512" workbookHashValue="xZri8Syl6opYcGVtLBXx6BsVUvYt75U9eu4SqJTe+sJetMUBbUWnDvrS244I8LTE4JFWsxveotXxmAOPRn3++A==" workbookSaltValue="jb/lZI73SBVJSvNy9cEoGQ==" workbookSpinCount="100000" lockStructure="1"/>
  <bookViews>
    <workbookView xWindow="16680" yWindow="460" windowWidth="33900" windowHeight="26140" tabRatio="904" activeTab="1" xr2:uid="{00000000-000D-0000-FFFF-FFFF00000000}"/>
  </bookViews>
  <sheets>
    <sheet name="Losses" sheetId="1" r:id="rId1"/>
    <sheet name="U Value" sheetId="33" r:id="rId2"/>
    <sheet name="Building Regs" sheetId="36" state="hidden" r:id="rId3"/>
    <sheet name="Properties" sheetId="7" state="hidden" r:id="rId4"/>
    <sheet name="Materials" sheetId="8" state="hidden" r:id="rId5"/>
  </sheets>
  <definedNames>
    <definedName name="_xlnm._FilterDatabase" localSheetId="4" hidden="1">Materials!$A$1:$D$1</definedName>
    <definedName name="Conductivity">Materials!$A$1:$D$383</definedName>
    <definedName name="_xlnm.Print_Area" localSheetId="0">Losses!$A$13:$AD$48</definedName>
    <definedName name="_xlnm.Print_Area" localSheetId="1">'U Value'!$A:$S</definedName>
  </definedNames>
  <calcPr calcId="181029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D8" i="33" l="1"/>
  <c r="D9" i="33"/>
  <c r="D10" i="33"/>
  <c r="B1" i="33" l="1"/>
  <c r="G82" i="7"/>
  <c r="G83" i="7"/>
  <c r="W10" i="33" l="1"/>
  <c r="W11" i="33"/>
  <c r="W12" i="33"/>
  <c r="W13" i="33"/>
  <c r="W14" i="33"/>
  <c r="W15" i="33"/>
  <c r="AM30" i="1" l="1"/>
  <c r="AI30" i="1"/>
  <c r="AK30" i="1" s="1"/>
  <c r="AM29" i="1"/>
  <c r="AI29" i="1"/>
  <c r="AK29" i="1" s="1"/>
  <c r="AM26" i="1"/>
  <c r="AK26" i="1"/>
  <c r="AI26" i="1"/>
  <c r="AJ26" i="1" s="1"/>
  <c r="AM25" i="1"/>
  <c r="AI25" i="1"/>
  <c r="AK25" i="1" s="1"/>
  <c r="AM22" i="1"/>
  <c r="AM21" i="1"/>
  <c r="AM18" i="1"/>
  <c r="AM17" i="1"/>
  <c r="G30" i="7"/>
  <c r="G31" i="7"/>
  <c r="G32" i="7"/>
  <c r="G60" i="7"/>
  <c r="G61" i="7"/>
  <c r="G62" i="7"/>
  <c r="G84" i="7"/>
  <c r="G141" i="7"/>
  <c r="G142" i="7"/>
  <c r="G143" i="7"/>
  <c r="G144" i="7"/>
  <c r="G145" i="7"/>
  <c r="G146" i="7"/>
  <c r="G147" i="7"/>
  <c r="G148" i="7"/>
  <c r="AJ30" i="1" l="1"/>
  <c r="AJ29" i="1"/>
  <c r="AJ25" i="1"/>
  <c r="D13" i="33" l="1"/>
  <c r="P2" i="33"/>
  <c r="N2" i="33"/>
  <c r="L2" i="33"/>
  <c r="J2" i="33"/>
  <c r="H2" i="33"/>
  <c r="D12" i="33"/>
  <c r="F38" i="33"/>
  <c r="X15" i="33"/>
  <c r="V15" i="33" s="1"/>
  <c r="D15" i="33"/>
  <c r="Q5" i="33" s="1"/>
  <c r="X14" i="33"/>
  <c r="P14" i="33"/>
  <c r="D14" i="33"/>
  <c r="X13" i="33"/>
  <c r="O13" i="33"/>
  <c r="X12" i="33"/>
  <c r="V12" i="33" s="1"/>
  <c r="X11" i="33"/>
  <c r="D11" i="33"/>
  <c r="X10" i="33"/>
  <c r="L10" i="33"/>
  <c r="X9" i="33"/>
  <c r="W9" i="33"/>
  <c r="K9" i="33" s="1"/>
  <c r="V9" i="33" s="1"/>
  <c r="X8" i="33"/>
  <c r="W8" i="33"/>
  <c r="X7" i="33"/>
  <c r="W7" i="33"/>
  <c r="I7" i="33" s="1"/>
  <c r="D7" i="33"/>
  <c r="X6" i="33"/>
  <c r="V6" i="33" s="1"/>
  <c r="W6" i="33"/>
  <c r="D6" i="33"/>
  <c r="P5" i="33"/>
  <c r="O5" i="33"/>
  <c r="N5" i="33"/>
  <c r="K5" i="33"/>
  <c r="J5" i="33"/>
  <c r="H5" i="33"/>
  <c r="Q4" i="33"/>
  <c r="P4" i="33"/>
  <c r="O4" i="33"/>
  <c r="N4" i="33"/>
  <c r="M4" i="33"/>
  <c r="L4" i="33"/>
  <c r="K4" i="33"/>
  <c r="J4" i="33"/>
  <c r="I4" i="33"/>
  <c r="H4" i="33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7" i="8"/>
  <c r="E148" i="8"/>
  <c r="E149" i="8"/>
  <c r="E150" i="8"/>
  <c r="E151" i="8"/>
  <c r="E152" i="8"/>
  <c r="E153" i="8"/>
  <c r="E154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2" i="8"/>
  <c r="E173" i="8"/>
  <c r="E174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F16" i="1"/>
  <c r="P11" i="1"/>
  <c r="J84" i="1"/>
  <c r="AH81" i="1" s="1"/>
  <c r="J85" i="1"/>
  <c r="AG81" i="1" s="1"/>
  <c r="C83" i="1"/>
  <c r="D83" i="1"/>
  <c r="U82" i="1" s="1"/>
  <c r="S83" i="1"/>
  <c r="S84" i="1"/>
  <c r="S87" i="1" s="1"/>
  <c r="V83" i="1"/>
  <c r="V86" i="1"/>
  <c r="P86" i="1"/>
  <c r="AG82" i="1" s="1"/>
  <c r="J76" i="1"/>
  <c r="J77" i="1"/>
  <c r="AG73" i="1" s="1"/>
  <c r="C75" i="1"/>
  <c r="D75" i="1"/>
  <c r="U74" i="1" s="1"/>
  <c r="S75" i="1"/>
  <c r="S78" i="1" s="1"/>
  <c r="S76" i="1"/>
  <c r="S79" i="1" s="1"/>
  <c r="T76" i="1"/>
  <c r="V75" i="1"/>
  <c r="V78" i="1"/>
  <c r="P78" i="1"/>
  <c r="AG74" i="1" s="1"/>
  <c r="J68" i="1"/>
  <c r="AH65" i="1" s="1"/>
  <c r="J69" i="1"/>
  <c r="AG65" i="1" s="1"/>
  <c r="C67" i="1"/>
  <c r="Z66" i="1" s="1"/>
  <c r="AG67" i="1" s="1"/>
  <c r="D67" i="1"/>
  <c r="S67" i="1"/>
  <c r="T68" i="1" s="1"/>
  <c r="S68" i="1"/>
  <c r="V67" i="1"/>
  <c r="V70" i="1"/>
  <c r="P70" i="1"/>
  <c r="AG66" i="1" s="1"/>
  <c r="N62" i="1"/>
  <c r="AH58" i="1" s="1"/>
  <c r="J60" i="1"/>
  <c r="AH57" i="1" s="1"/>
  <c r="J59" i="1"/>
  <c r="C59" i="1"/>
  <c r="D59" i="1"/>
  <c r="J61" i="1"/>
  <c r="S59" i="1"/>
  <c r="S62" i="1" s="1"/>
  <c r="T63" i="1" s="1"/>
  <c r="S60" i="1"/>
  <c r="S63" i="1" s="1"/>
  <c r="V59" i="1"/>
  <c r="V62" i="1"/>
  <c r="P62" i="1"/>
  <c r="AG58" i="1" s="1"/>
  <c r="J52" i="1"/>
  <c r="AH49" i="1"/>
  <c r="J53" i="1"/>
  <c r="AG49" i="1" s="1"/>
  <c r="C51" i="1"/>
  <c r="D51" i="1"/>
  <c r="S51" i="1"/>
  <c r="S52" i="1"/>
  <c r="T52" i="1" s="1"/>
  <c r="V51" i="1"/>
  <c r="V54" i="1"/>
  <c r="P54" i="1"/>
  <c r="AG50" i="1" s="1"/>
  <c r="C43" i="1"/>
  <c r="D43" i="1"/>
  <c r="S43" i="1"/>
  <c r="S46" i="1" s="1"/>
  <c r="S44" i="1"/>
  <c r="S47" i="1" s="1"/>
  <c r="V43" i="1"/>
  <c r="V46" i="1"/>
  <c r="P46" i="1"/>
  <c r="AG42" i="1" s="1"/>
  <c r="C35" i="1"/>
  <c r="U34" i="1" s="1"/>
  <c r="D35" i="1"/>
  <c r="S35" i="1"/>
  <c r="S38" i="1" s="1"/>
  <c r="S36" i="1"/>
  <c r="S39" i="1" s="1"/>
  <c r="V35" i="1"/>
  <c r="V38" i="1"/>
  <c r="P38" i="1"/>
  <c r="N30" i="1"/>
  <c r="AH26" i="1" s="1"/>
  <c r="AN26" i="1" s="1"/>
  <c r="J27" i="1"/>
  <c r="C27" i="1"/>
  <c r="D27" i="1"/>
  <c r="S27" i="1"/>
  <c r="S30" i="1" s="1"/>
  <c r="S28" i="1"/>
  <c r="S31" i="1" s="1"/>
  <c r="V27" i="1"/>
  <c r="V30" i="1"/>
  <c r="P26" i="1"/>
  <c r="P27" i="1"/>
  <c r="R11" i="1"/>
  <c r="T11" i="1"/>
  <c r="N22" i="1"/>
  <c r="AH18" i="1" s="1"/>
  <c r="J19" i="1"/>
  <c r="P18" i="1"/>
  <c r="C19" i="1"/>
  <c r="Z18" i="1" s="1"/>
  <c r="D19" i="1"/>
  <c r="P19" i="1"/>
  <c r="Q19" i="1" s="1"/>
  <c r="P20" i="1"/>
  <c r="P21" i="1"/>
  <c r="Q21" i="1" s="1"/>
  <c r="S19" i="1"/>
  <c r="S20" i="1"/>
  <c r="S23" i="1" s="1"/>
  <c r="V19" i="1"/>
  <c r="V22" i="1"/>
  <c r="O11" i="1"/>
  <c r="O10" i="1"/>
  <c r="O9" i="1"/>
  <c r="O8" i="1"/>
  <c r="O7" i="1"/>
  <c r="O6" i="1"/>
  <c r="O5" i="1"/>
  <c r="O4" i="1"/>
  <c r="O3" i="1"/>
  <c r="O2" i="1"/>
  <c r="P85" i="1"/>
  <c r="Q85" i="1" s="1"/>
  <c r="P50" i="1"/>
  <c r="P51" i="1"/>
  <c r="Q51" i="1" s="1"/>
  <c r="P52" i="1"/>
  <c r="P53" i="1"/>
  <c r="Q53" i="1" s="1"/>
  <c r="N86" i="1"/>
  <c r="N38" i="1"/>
  <c r="N46" i="1"/>
  <c r="N54" i="1"/>
  <c r="N70" i="1"/>
  <c r="N78" i="1"/>
  <c r="AH74" i="1" s="1"/>
  <c r="J83" i="1"/>
  <c r="P82" i="1"/>
  <c r="P83" i="1"/>
  <c r="Q83" i="1" s="1"/>
  <c r="P84" i="1"/>
  <c r="J75" i="1"/>
  <c r="P74" i="1"/>
  <c r="P75" i="1"/>
  <c r="Q75" i="1" s="1"/>
  <c r="P76" i="1"/>
  <c r="P77" i="1"/>
  <c r="Q77" i="1" s="1"/>
  <c r="J67" i="1"/>
  <c r="P66" i="1"/>
  <c r="Q66" i="1" s="1"/>
  <c r="P67" i="1"/>
  <c r="P68" i="1"/>
  <c r="Q68" i="1" s="1"/>
  <c r="P69" i="1"/>
  <c r="P58" i="1"/>
  <c r="Q58" i="1" s="1"/>
  <c r="P59" i="1"/>
  <c r="P60" i="1"/>
  <c r="Q60" i="1" s="1"/>
  <c r="P61" i="1"/>
  <c r="J43" i="1"/>
  <c r="P42" i="1"/>
  <c r="P43" i="1"/>
  <c r="P44" i="1"/>
  <c r="P45" i="1"/>
  <c r="Q45" i="1" s="1"/>
  <c r="J35" i="1"/>
  <c r="P34" i="1"/>
  <c r="Q34" i="1" s="1"/>
  <c r="P35" i="1"/>
  <c r="P36" i="1"/>
  <c r="Q36" i="1" s="1"/>
  <c r="P37" i="1"/>
  <c r="Q37" i="1" s="1"/>
  <c r="P28" i="1"/>
  <c r="Q28" i="1" s="1"/>
  <c r="P29" i="1"/>
  <c r="O55" i="1"/>
  <c r="J51" i="1"/>
  <c r="AE81" i="1"/>
  <c r="AE73" i="1"/>
  <c r="AE65" i="1"/>
  <c r="AE57" i="1"/>
  <c r="AE17" i="1"/>
  <c r="AE25" i="1"/>
  <c r="AE33" i="1"/>
  <c r="AE41" i="1"/>
  <c r="AE49" i="1"/>
  <c r="U7" i="7"/>
  <c r="O3" i="7"/>
  <c r="U6" i="7"/>
  <c r="U5" i="7"/>
  <c r="U4" i="7"/>
  <c r="U3" i="7"/>
  <c r="U2" i="7"/>
  <c r="AG34" i="1"/>
  <c r="K10" i="1"/>
  <c r="AB23" i="1"/>
  <c r="AB31" i="1"/>
  <c r="AB39" i="1"/>
  <c r="AB47" i="1"/>
  <c r="AB55" i="1"/>
  <c r="AB63" i="1"/>
  <c r="AB71" i="1"/>
  <c r="AB79" i="1"/>
  <c r="AB87" i="1"/>
  <c r="AI81" i="1"/>
  <c r="AK81" i="1"/>
  <c r="AJ81" i="1"/>
  <c r="AM81" i="1"/>
  <c r="AN81" i="1"/>
  <c r="AN82" i="1"/>
  <c r="AN85" i="1"/>
  <c r="AN86" i="1"/>
  <c r="AM86" i="1"/>
  <c r="AK86" i="1"/>
  <c r="AJ86" i="1"/>
  <c r="AI86" i="1"/>
  <c r="AM85" i="1"/>
  <c r="AK85" i="1"/>
  <c r="AJ85" i="1"/>
  <c r="AI85" i="1"/>
  <c r="AM82" i="1"/>
  <c r="AK82" i="1"/>
  <c r="AJ82" i="1"/>
  <c r="AI82" i="1"/>
  <c r="AA79" i="1"/>
  <c r="AI73" i="1"/>
  <c r="AK73" i="1"/>
  <c r="AJ73" i="1"/>
  <c r="AH73" i="1"/>
  <c r="AM73" i="1"/>
  <c r="AN73" i="1"/>
  <c r="AN74" i="1"/>
  <c r="AN77" i="1"/>
  <c r="AN78" i="1"/>
  <c r="AM78" i="1"/>
  <c r="AK78" i="1"/>
  <c r="AJ78" i="1"/>
  <c r="AI78" i="1"/>
  <c r="AA78" i="1"/>
  <c r="AM77" i="1"/>
  <c r="AK77" i="1"/>
  <c r="AJ77" i="1"/>
  <c r="AI77" i="1"/>
  <c r="AM74" i="1"/>
  <c r="AK74" i="1"/>
  <c r="AJ74" i="1"/>
  <c r="AI74" i="1"/>
  <c r="AA71" i="1"/>
  <c r="AI65" i="1"/>
  <c r="AK65" i="1"/>
  <c r="AJ65" i="1"/>
  <c r="AM65" i="1"/>
  <c r="AN65" i="1"/>
  <c r="AN66" i="1"/>
  <c r="AN69" i="1"/>
  <c r="AN70" i="1"/>
  <c r="AM70" i="1"/>
  <c r="AK70" i="1"/>
  <c r="AJ70" i="1"/>
  <c r="AI70" i="1"/>
  <c r="AA70" i="1"/>
  <c r="AM69" i="1"/>
  <c r="AK69" i="1"/>
  <c r="AJ69" i="1"/>
  <c r="AI69" i="1"/>
  <c r="AM66" i="1"/>
  <c r="AK66" i="1"/>
  <c r="AJ66" i="1"/>
  <c r="AI66" i="1"/>
  <c r="AH66" i="1"/>
  <c r="AA63" i="1"/>
  <c r="AI57" i="1"/>
  <c r="AK57" i="1"/>
  <c r="AJ57" i="1"/>
  <c r="AM57" i="1"/>
  <c r="AN57" i="1"/>
  <c r="AN58" i="1"/>
  <c r="AN61" i="1"/>
  <c r="AN62" i="1"/>
  <c r="AM62" i="1"/>
  <c r="AK62" i="1"/>
  <c r="AJ62" i="1"/>
  <c r="AI62" i="1"/>
  <c r="AA62" i="1"/>
  <c r="AM61" i="1"/>
  <c r="AK61" i="1"/>
  <c r="AJ61" i="1"/>
  <c r="AI61" i="1"/>
  <c r="AM58" i="1"/>
  <c r="AK58" i="1"/>
  <c r="AJ58" i="1"/>
  <c r="AI58" i="1"/>
  <c r="AA55" i="1"/>
  <c r="AI49" i="1"/>
  <c r="AK49" i="1"/>
  <c r="AJ49" i="1"/>
  <c r="AM49" i="1"/>
  <c r="AN49" i="1"/>
  <c r="AN50" i="1"/>
  <c r="AN53" i="1"/>
  <c r="AN54" i="1"/>
  <c r="AM54" i="1"/>
  <c r="AK54" i="1"/>
  <c r="AJ54" i="1"/>
  <c r="AI54" i="1"/>
  <c r="AA54" i="1"/>
  <c r="AM53" i="1"/>
  <c r="AK53" i="1"/>
  <c r="AJ53" i="1"/>
  <c r="AI53" i="1"/>
  <c r="AM50" i="1"/>
  <c r="AK50" i="1"/>
  <c r="AJ50" i="1"/>
  <c r="AI50" i="1"/>
  <c r="AH50" i="1"/>
  <c r="AI41" i="1"/>
  <c r="AK41" i="1" s="1"/>
  <c r="AM41" i="1"/>
  <c r="AN42" i="1"/>
  <c r="AN45" i="1"/>
  <c r="AN46" i="1"/>
  <c r="AM46" i="1"/>
  <c r="AK46" i="1"/>
  <c r="AJ46" i="1"/>
  <c r="AI46" i="1"/>
  <c r="AM45" i="1"/>
  <c r="AK45" i="1"/>
  <c r="AJ45" i="1"/>
  <c r="AI45" i="1"/>
  <c r="AM42" i="1"/>
  <c r="AK42" i="1"/>
  <c r="AJ42" i="1"/>
  <c r="AI42" i="1"/>
  <c r="AH42" i="1"/>
  <c r="AI33" i="1"/>
  <c r="AK33" i="1" s="1"/>
  <c r="AM33" i="1"/>
  <c r="AN34" i="1"/>
  <c r="AN37" i="1"/>
  <c r="AN38" i="1"/>
  <c r="AM38" i="1"/>
  <c r="AK38" i="1"/>
  <c r="AJ38" i="1"/>
  <c r="AI38" i="1"/>
  <c r="AM37" i="1"/>
  <c r="AK37" i="1"/>
  <c r="AJ37" i="1"/>
  <c r="AI37" i="1"/>
  <c r="AM34" i="1"/>
  <c r="AK34" i="1"/>
  <c r="AJ34" i="1"/>
  <c r="AI34" i="1"/>
  <c r="AI17" i="1"/>
  <c r="AI18" i="1"/>
  <c r="AI21" i="1"/>
  <c r="AI22" i="1"/>
  <c r="AA87" i="1"/>
  <c r="AA86" i="1"/>
  <c r="U26" i="1"/>
  <c r="Z27" i="1"/>
  <c r="AG28" i="1" s="1"/>
  <c r="O39" i="1"/>
  <c r="S54" i="1"/>
  <c r="Z50" i="1"/>
  <c r="AG51" i="1" s="1"/>
  <c r="AH34" i="1"/>
  <c r="T60" i="1"/>
  <c r="AH61" i="1" s="1"/>
  <c r="S71" i="1"/>
  <c r="T84" i="1"/>
  <c r="S86" i="1"/>
  <c r="AH85" i="1"/>
  <c r="AJ41" i="1" l="1"/>
  <c r="J44" i="1"/>
  <c r="AH41" i="1" s="1"/>
  <c r="AN41" i="1" s="1"/>
  <c r="T39" i="1"/>
  <c r="T20" i="1"/>
  <c r="AH21" i="1" s="1"/>
  <c r="T79" i="1"/>
  <c r="AH78" i="1" s="1"/>
  <c r="T87" i="1"/>
  <c r="Q42" i="1"/>
  <c r="Q59" i="1"/>
  <c r="Q67" i="1"/>
  <c r="Q76" i="1"/>
  <c r="Q84" i="1"/>
  <c r="Q52" i="1"/>
  <c r="Q20" i="1"/>
  <c r="Z43" i="1"/>
  <c r="AG44" i="1" s="1"/>
  <c r="S55" i="1"/>
  <c r="T55" i="1" s="1"/>
  <c r="O71" i="1"/>
  <c r="I5" i="33"/>
  <c r="V7" i="33"/>
  <c r="J36" i="1"/>
  <c r="AH33" i="1" s="1"/>
  <c r="Z83" i="1"/>
  <c r="AG84" i="1" s="1"/>
  <c r="T36" i="1"/>
  <c r="AH37" i="1" s="1"/>
  <c r="Z19" i="1"/>
  <c r="AG20" i="1" s="1"/>
  <c r="Q29" i="1"/>
  <c r="Q35" i="1"/>
  <c r="Q44" i="1"/>
  <c r="Q61" i="1"/>
  <c r="Q69" i="1"/>
  <c r="Q74" i="1"/>
  <c r="Q82" i="1"/>
  <c r="Q50" i="1"/>
  <c r="T47" i="1"/>
  <c r="W47" i="1" s="1"/>
  <c r="AG46" i="1" s="1"/>
  <c r="Z67" i="1"/>
  <c r="AG68" i="1" s="1"/>
  <c r="Z75" i="1"/>
  <c r="AG76" i="1" s="1"/>
  <c r="O79" i="1"/>
  <c r="S11" i="1"/>
  <c r="L5" i="33"/>
  <c r="V10" i="33"/>
  <c r="V14" i="33"/>
  <c r="V13" i="33"/>
  <c r="N12" i="33"/>
  <c r="M5" i="33"/>
  <c r="G79" i="7"/>
  <c r="G80" i="7"/>
  <c r="G81" i="7"/>
  <c r="W63" i="1"/>
  <c r="J45" i="1"/>
  <c r="AG41" i="1" s="1"/>
  <c r="J6" i="1"/>
  <c r="T44" i="1"/>
  <c r="AH45" i="1" s="1"/>
  <c r="AJ33" i="1"/>
  <c r="J37" i="1"/>
  <c r="AG33" i="1" s="1"/>
  <c r="G139" i="7"/>
  <c r="G140" i="7"/>
  <c r="W79" i="1"/>
  <c r="AG78" i="1" s="1"/>
  <c r="J8" i="33"/>
  <c r="V8" i="33" s="1"/>
  <c r="H6" i="33"/>
  <c r="AJ18" i="1"/>
  <c r="AK18" i="1"/>
  <c r="J28" i="1"/>
  <c r="AH25" i="1" s="1"/>
  <c r="AN25" i="1" s="1"/>
  <c r="Z74" i="1"/>
  <c r="Z77" i="1" s="1"/>
  <c r="R9" i="1" s="1"/>
  <c r="Z26" i="1"/>
  <c r="AG27" i="1" s="1"/>
  <c r="AK22" i="1"/>
  <c r="AJ22" i="1"/>
  <c r="AJ21" i="1"/>
  <c r="AK21" i="1"/>
  <c r="AJ17" i="1"/>
  <c r="AK17" i="1"/>
  <c r="S22" i="1"/>
  <c r="T23" i="1"/>
  <c r="W23" i="1" s="1"/>
  <c r="Z58" i="1"/>
  <c r="AG59" i="1" s="1"/>
  <c r="Q26" i="1"/>
  <c r="Z51" i="1"/>
  <c r="Z59" i="1"/>
  <c r="U66" i="1"/>
  <c r="Q18" i="1"/>
  <c r="Z35" i="1"/>
  <c r="AG36" i="1" s="1"/>
  <c r="U42" i="1"/>
  <c r="Q15" i="33"/>
  <c r="M11" i="33"/>
  <c r="V11" i="33" s="1"/>
  <c r="G28" i="7"/>
  <c r="G36" i="7"/>
  <c r="G40" i="7"/>
  <c r="G44" i="7"/>
  <c r="G48" i="7"/>
  <c r="G52" i="7"/>
  <c r="G56" i="7"/>
  <c r="G64" i="7"/>
  <c r="G68" i="7"/>
  <c r="G72" i="7"/>
  <c r="G76" i="7"/>
  <c r="G88" i="7"/>
  <c r="G92" i="7"/>
  <c r="G96" i="7"/>
  <c r="G100" i="7"/>
  <c r="G104" i="7"/>
  <c r="G108" i="7"/>
  <c r="G112" i="7"/>
  <c r="G116" i="7"/>
  <c r="G120" i="7"/>
  <c r="G124" i="7"/>
  <c r="G128" i="7"/>
  <c r="G132" i="7"/>
  <c r="G136" i="7"/>
  <c r="G6" i="7"/>
  <c r="G10" i="7"/>
  <c r="G14" i="7"/>
  <c r="G18" i="7"/>
  <c r="G22" i="7"/>
  <c r="G11" i="7"/>
  <c r="G19" i="7"/>
  <c r="G20" i="7"/>
  <c r="G95" i="7"/>
  <c r="G103" i="7"/>
  <c r="G119" i="7"/>
  <c r="G131" i="7"/>
  <c r="G9" i="7"/>
  <c r="G21" i="7"/>
  <c r="G25" i="7"/>
  <c r="G29" i="7"/>
  <c r="G33" i="7"/>
  <c r="G37" i="7"/>
  <c r="G41" i="7"/>
  <c r="G45" i="7"/>
  <c r="G49" i="7"/>
  <c r="G53" i="7"/>
  <c r="G57" i="7"/>
  <c r="G65" i="7"/>
  <c r="G69" i="7"/>
  <c r="G73" i="7"/>
  <c r="G77" i="7"/>
  <c r="G85" i="7"/>
  <c r="G89" i="7"/>
  <c r="G93" i="7"/>
  <c r="G97" i="7"/>
  <c r="G101" i="7"/>
  <c r="G105" i="7"/>
  <c r="G109" i="7"/>
  <c r="G113" i="7"/>
  <c r="G117" i="7"/>
  <c r="G121" i="7"/>
  <c r="G125" i="7"/>
  <c r="G129" i="7"/>
  <c r="G133" i="7"/>
  <c r="G137" i="7"/>
  <c r="G3" i="7"/>
  <c r="G7" i="7"/>
  <c r="G15" i="7"/>
  <c r="G23" i="7"/>
  <c r="G91" i="7"/>
  <c r="G111" i="7"/>
  <c r="G135" i="7"/>
  <c r="G17" i="7"/>
  <c r="G2" i="7"/>
  <c r="G26" i="7"/>
  <c r="G34" i="7"/>
  <c r="G38" i="7"/>
  <c r="G42" i="7"/>
  <c r="G46" i="7"/>
  <c r="G50" i="7"/>
  <c r="G54" i="7"/>
  <c r="G58" i="7"/>
  <c r="G66" i="7"/>
  <c r="G70" i="7"/>
  <c r="G74" i="7"/>
  <c r="G78" i="7"/>
  <c r="G86" i="7"/>
  <c r="G90" i="7"/>
  <c r="G94" i="7"/>
  <c r="G98" i="7"/>
  <c r="G102" i="7"/>
  <c r="G106" i="7"/>
  <c r="G110" i="7"/>
  <c r="G114" i="7"/>
  <c r="G118" i="7"/>
  <c r="G122" i="7"/>
  <c r="G126" i="7"/>
  <c r="G130" i="7"/>
  <c r="G134" i="7"/>
  <c r="G138" i="7"/>
  <c r="G4" i="7"/>
  <c r="G8" i="7"/>
  <c r="G12" i="7"/>
  <c r="G16" i="7"/>
  <c r="G24" i="7"/>
  <c r="G99" i="7"/>
  <c r="G107" i="7"/>
  <c r="G123" i="7"/>
  <c r="G5" i="7"/>
  <c r="G27" i="7"/>
  <c r="G35" i="7"/>
  <c r="G39" i="7"/>
  <c r="G43" i="7"/>
  <c r="G47" i="7"/>
  <c r="G51" i="7"/>
  <c r="G55" i="7"/>
  <c r="G59" i="7"/>
  <c r="G63" i="7"/>
  <c r="G67" i="7"/>
  <c r="G71" i="7"/>
  <c r="G75" i="7"/>
  <c r="G87" i="7"/>
  <c r="G115" i="7"/>
  <c r="G127" i="7"/>
  <c r="G13" i="7"/>
  <c r="W76" i="1"/>
  <c r="AG77" i="1" s="1"/>
  <c r="W84" i="1"/>
  <c r="AG85" i="1" s="1"/>
  <c r="P22" i="1"/>
  <c r="AG18" i="1" s="1"/>
  <c r="O87" i="1"/>
  <c r="Z42" i="1"/>
  <c r="Z45" i="1" s="1"/>
  <c r="R5" i="1" s="1"/>
  <c r="O63" i="1"/>
  <c r="C16" i="33"/>
  <c r="W39" i="1"/>
  <c r="AH38" i="1"/>
  <c r="AH22" i="1"/>
  <c r="AH86" i="1"/>
  <c r="W87" i="1"/>
  <c r="W68" i="1"/>
  <c r="AH69" i="1"/>
  <c r="AG62" i="1"/>
  <c r="Z21" i="1"/>
  <c r="R2" i="1" s="1"/>
  <c r="AG19" i="1"/>
  <c r="AH54" i="1"/>
  <c r="W55" i="1"/>
  <c r="AG52" i="1"/>
  <c r="Z53" i="1"/>
  <c r="J29" i="1"/>
  <c r="AG25" i="1" s="1"/>
  <c r="T31" i="1"/>
  <c r="AH30" i="1" s="1"/>
  <c r="AN30" i="1" s="1"/>
  <c r="AH53" i="1"/>
  <c r="AH62" i="1"/>
  <c r="T28" i="1"/>
  <c r="AH29" i="1" s="1"/>
  <c r="AN29" i="1" s="1"/>
  <c r="AG57" i="1"/>
  <c r="N16" i="1"/>
  <c r="O47" i="1"/>
  <c r="S70" i="1"/>
  <c r="T71" i="1" s="1"/>
  <c r="AH77" i="1"/>
  <c r="U18" i="1"/>
  <c r="W20" i="1" s="1"/>
  <c r="Q43" i="1"/>
  <c r="Q27" i="1"/>
  <c r="P30" i="1" s="1"/>
  <c r="AG26" i="1" s="1"/>
  <c r="Z69" i="1"/>
  <c r="Z82" i="1"/>
  <c r="Z29" i="1"/>
  <c r="R3" i="1" s="1"/>
  <c r="U50" i="1"/>
  <c r="W52" i="1" s="1"/>
  <c r="Z34" i="1"/>
  <c r="O31" i="1"/>
  <c r="AH82" i="1"/>
  <c r="U58" i="1"/>
  <c r="W60" i="1" s="1"/>
  <c r="AG75" i="1" l="1"/>
  <c r="AN33" i="1"/>
  <c r="W36" i="1"/>
  <c r="AG37" i="1" s="1"/>
  <c r="AH46" i="1"/>
  <c r="AN22" i="1"/>
  <c r="W44" i="1"/>
  <c r="Z46" i="1" s="1"/>
  <c r="AA43" i="1" s="1"/>
  <c r="Z78" i="1"/>
  <c r="W75" i="1" s="1"/>
  <c r="AN18" i="1"/>
  <c r="AN21" i="1"/>
  <c r="AG60" i="1"/>
  <c r="Z61" i="1"/>
  <c r="R7" i="1" s="1"/>
  <c r="V16" i="33"/>
  <c r="P16" i="33" s="1"/>
  <c r="AG43" i="1"/>
  <c r="AG53" i="1"/>
  <c r="Z37" i="1"/>
  <c r="AG35" i="1"/>
  <c r="Z85" i="1"/>
  <c r="AG83" i="1"/>
  <c r="AG21" i="1"/>
  <c r="AH70" i="1"/>
  <c r="W71" i="1"/>
  <c r="Z70" i="1" s="1"/>
  <c r="W28" i="1"/>
  <c r="AG29" i="1" s="1"/>
  <c r="W31" i="1"/>
  <c r="AG30" i="1" s="1"/>
  <c r="R8" i="1"/>
  <c r="O23" i="1"/>
  <c r="J20" i="1"/>
  <c r="Z54" i="1"/>
  <c r="W51" i="1" s="1"/>
  <c r="R6" i="1"/>
  <c r="AG69" i="1"/>
  <c r="AG22" i="1"/>
  <c r="AG61" i="1"/>
  <c r="AC62" i="1" s="1"/>
  <c r="AC78" i="1"/>
  <c r="AG54" i="1"/>
  <c r="AG86" i="1"/>
  <c r="AG38" i="1"/>
  <c r="P9" i="1" l="1"/>
  <c r="S9" i="1" s="1"/>
  <c r="W78" i="1"/>
  <c r="AA74" i="1"/>
  <c r="AA75" i="1"/>
  <c r="Z79" i="1"/>
  <c r="T9" i="1" s="1"/>
  <c r="P79" i="1"/>
  <c r="J78" i="1"/>
  <c r="W43" i="1"/>
  <c r="J46" i="1"/>
  <c r="AA42" i="1"/>
  <c r="Z47" i="1"/>
  <c r="P47" i="1"/>
  <c r="AG45" i="1"/>
  <c r="AC46" i="1" s="1"/>
  <c r="P5" i="1"/>
  <c r="S5" i="1" s="1"/>
  <c r="W46" i="1"/>
  <c r="K17" i="33"/>
  <c r="E38" i="33" s="1"/>
  <c r="M16" i="33"/>
  <c r="L16" i="33"/>
  <c r="Q16" i="33"/>
  <c r="K16" i="33"/>
  <c r="O16" i="33"/>
  <c r="N16" i="33"/>
  <c r="H16" i="33"/>
  <c r="J16" i="33"/>
  <c r="I16" i="33"/>
  <c r="Z62" i="1"/>
  <c r="AC86" i="1"/>
  <c r="AC54" i="1"/>
  <c r="W54" i="1"/>
  <c r="P71" i="1"/>
  <c r="P8" i="1"/>
  <c r="S8" i="1" s="1"/>
  <c r="AA66" i="1"/>
  <c r="Z71" i="1"/>
  <c r="T8" i="1" s="1"/>
  <c r="AA67" i="1"/>
  <c r="J70" i="1"/>
  <c r="AG70" i="1"/>
  <c r="W70" i="1"/>
  <c r="R10" i="1"/>
  <c r="Z86" i="1"/>
  <c r="P6" i="1"/>
  <c r="S6" i="1" s="1"/>
  <c r="J54" i="1"/>
  <c r="P55" i="1"/>
  <c r="Z55" i="1"/>
  <c r="T6" i="1" s="1"/>
  <c r="AA51" i="1"/>
  <c r="AA50" i="1"/>
  <c r="J21" i="1"/>
  <c r="AH17" i="1"/>
  <c r="AC70" i="1"/>
  <c r="R4" i="1"/>
  <c r="Z38" i="1"/>
  <c r="Z30" i="1"/>
  <c r="W30" i="1" s="1"/>
  <c r="W67" i="1"/>
  <c r="AC38" i="1"/>
  <c r="T5" i="1" l="1"/>
  <c r="AA47" i="1"/>
  <c r="AA46" i="1" s="1"/>
  <c r="AN17" i="1"/>
  <c r="J5" i="1" s="1"/>
  <c r="AA59" i="1"/>
  <c r="W59" i="1"/>
  <c r="Z63" i="1"/>
  <c r="T7" i="1" s="1"/>
  <c r="P7" i="1"/>
  <c r="S7" i="1" s="1"/>
  <c r="P63" i="1"/>
  <c r="J62" i="1"/>
  <c r="AA58" i="1"/>
  <c r="W62" i="1"/>
  <c r="W27" i="1"/>
  <c r="AC30" i="1"/>
  <c r="J38" i="1"/>
  <c r="Z39" i="1"/>
  <c r="W35" i="1"/>
  <c r="P4" i="1"/>
  <c r="S4" i="1" s="1"/>
  <c r="P39" i="1"/>
  <c r="AA34" i="1"/>
  <c r="W38" i="1"/>
  <c r="AA35" i="1"/>
  <c r="Z22" i="1"/>
  <c r="AG17" i="1"/>
  <c r="P3" i="1"/>
  <c r="S3" i="1" s="1"/>
  <c r="AA27" i="1"/>
  <c r="Z31" i="1"/>
  <c r="AA26" i="1"/>
  <c r="J30" i="1"/>
  <c r="P31" i="1"/>
  <c r="Z87" i="1"/>
  <c r="T10" i="1" s="1"/>
  <c r="P10" i="1"/>
  <c r="S10" i="1" s="1"/>
  <c r="P87" i="1"/>
  <c r="W83" i="1"/>
  <c r="J86" i="1"/>
  <c r="AA83" i="1"/>
  <c r="AA82" i="1"/>
  <c r="W86" i="1"/>
  <c r="T4" i="1" l="1"/>
  <c r="AA39" i="1"/>
  <c r="AA38" i="1" s="1"/>
  <c r="P2" i="1"/>
  <c r="S2" i="1" s="1"/>
  <c r="Z23" i="1"/>
  <c r="AA18" i="1"/>
  <c r="P23" i="1"/>
  <c r="AA19" i="1"/>
  <c r="W22" i="1"/>
  <c r="W19" i="1"/>
  <c r="AC22" i="1"/>
  <c r="J1" i="1"/>
  <c r="J2" i="1" s="1"/>
  <c r="J3" i="1" s="1"/>
  <c r="J4" i="1" s="1"/>
  <c r="AA31" i="1"/>
  <c r="AA30" i="1" s="1"/>
  <c r="T3" i="1"/>
  <c r="J22" i="1"/>
  <c r="T2" i="1" l="1"/>
  <c r="AA23" i="1"/>
  <c r="AA2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Smith</author>
    <author>David</author>
  </authors>
  <commentList>
    <comment ref="K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65 C</t>
        </r>
      </text>
    </comment>
    <comment ref="AM17" authorId="1" shapeId="0" xr:uid="{A842049A-0BD1-224E-9958-B5C3B6804256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20" authorId="1" shapeId="0" xr:uid="{00000000-0006-0000-0800-000003000000}">
      <text>
        <r>
          <rPr>
            <b/>
            <sz val="9"/>
            <color rgb="FF000000"/>
            <rFont val="Tahoma"/>
            <family val="2"/>
          </rPr>
          <t>David: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Window area has been deducted</t>
        </r>
      </text>
    </comment>
    <comment ref="U21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25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28" authorId="1" shapeId="0" xr:uid="{00000000-0006-0000-0800-000006000000}">
      <text>
        <r>
          <rPr>
            <b/>
            <sz val="9"/>
            <color rgb="FF000000"/>
            <rFont val="Tahoma"/>
            <family val="2"/>
          </rPr>
          <t>David: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Window area has been deducted</t>
        </r>
      </text>
    </comment>
    <comment ref="U29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33" authorId="1" shapeId="0" xr:uid="{00000000-0006-0000-0800-000008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36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37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41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44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45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49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52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53" authorId="0" shapeId="0" xr:uid="{00000000-0006-0000-0800-000010000000}">
      <text>
        <r>
          <rPr>
            <b/>
            <sz val="9"/>
            <color rgb="FF000000"/>
            <rFont val="Tahoma"/>
            <family val="2"/>
          </rPr>
          <t>Smith: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Use where adjacent  internal space</t>
        </r>
      </text>
    </comment>
    <comment ref="AM57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60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61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65" authorId="1" shapeId="0" xr:uid="{00000000-0006-0000-0800-000014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68" authorId="1" shapeId="0" xr:uid="{00000000-0006-0000-0800-000015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69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73" authorId="1" shapeId="0" xr:uid="{00000000-0006-0000-0800-000017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76" authorId="1" shapeId="0" xr:uid="{00000000-0006-0000-0800-000018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Window area has been deducted</t>
        </r>
      </text>
    </comment>
    <comment ref="U7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  <comment ref="AM81" authorId="1" shapeId="0" xr:uid="{00000000-0006-0000-0800-00001A000000}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Mean Temp of fabric</t>
        </r>
      </text>
    </comment>
    <comment ref="J84" authorId="1" shapeId="0" xr:uid="{00000000-0006-0000-0800-00001B000000}">
      <text>
        <r>
          <rPr>
            <b/>
            <sz val="9"/>
            <color rgb="FF000000"/>
            <rFont val="Tahoma"/>
            <family val="2"/>
          </rPr>
          <t>David: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Window area has been deducted</t>
        </r>
      </text>
    </comment>
    <comment ref="U85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Smith:</t>
        </r>
        <r>
          <rPr>
            <sz val="9"/>
            <color indexed="81"/>
            <rFont val="Tahoma"/>
            <family val="2"/>
          </rPr>
          <t xml:space="preserve">
Use where adjacent  internal space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DKS</author>
  </authors>
  <commentList>
    <comment ref="Y1" authorId="0" shapeId="0" xr:uid="{734C3805-92B3-7D4C-9C2B-B71D877EE57B}">
      <text>
        <r>
          <rPr>
            <b/>
            <sz val="10"/>
            <color rgb="FF000000"/>
            <rFont val="Tahoma"/>
            <family val="2"/>
          </rPr>
          <t>DKS: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Insulating materials - multiplies thermal resistenace by % insulation coverage</t>
        </r>
      </text>
    </comment>
    <comment ref="D3" authorId="0" shapeId="0" xr:uid="{B018D728-F2B6-6A44-BDFE-2C5A9FBCB7A6}">
      <text>
        <r>
          <rPr>
            <b/>
            <sz val="10"/>
            <color rgb="FF000000"/>
            <rFont val="Tahoma"/>
            <family val="2"/>
          </rPr>
          <t>DKS: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Insulation is rarely has no gaps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Smith</author>
  </authors>
  <commentList>
    <comment ref="H3" authorId="0" shapeId="0" xr:uid="{90C33F37-A5F9-9549-AF81-EF9E7DFEF24E}">
      <text>
        <r>
          <rPr>
            <sz val="8"/>
            <color indexed="81"/>
            <rFont val="Tahoma"/>
            <family val="2"/>
          </rPr>
          <t>Energy Performance Building Directive</t>
        </r>
      </text>
    </comment>
    <comment ref="J3" authorId="0" shapeId="0" xr:uid="{ECD4EAB0-7DC3-EE46-BE07-4099BEE4AF4F}">
      <text>
        <r>
          <rPr>
            <sz val="8"/>
            <color indexed="81"/>
            <rFont val="Tahoma"/>
            <family val="2"/>
          </rPr>
          <t>Energy Performance Building Directive</t>
        </r>
      </text>
    </comment>
    <comment ref="M3" authorId="0" shapeId="0" xr:uid="{F01B1C26-E659-8C4C-80EA-98A646506EE8}">
      <text>
        <r>
          <rPr>
            <sz val="8"/>
            <color indexed="8"/>
            <rFont val="Tahoma"/>
            <family val="2"/>
          </rPr>
          <t>Energy Performance Building Directive</t>
        </r>
      </text>
    </comment>
    <comment ref="N3" authorId="0" shapeId="0" xr:uid="{A7C7A0AD-8C02-6B44-A6E9-D7244C82970F}">
      <text>
        <r>
          <rPr>
            <sz val="8"/>
            <color indexed="8"/>
            <rFont val="Tahoma"/>
            <family val="2"/>
          </rPr>
          <t>Energy Performance Building Directive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Smith</author>
  </authors>
  <commentList>
    <comment ref="O2" authorId="0" shapeId="0" xr:uid="{00000000-0006-0000-0900-000001000000}">
      <text>
        <r>
          <rPr>
            <sz val="8"/>
            <color indexed="81"/>
            <rFont val="Tahoma"/>
            <family val="2"/>
          </rPr>
          <t>Energy Performance Building Directive</t>
        </r>
      </text>
    </comment>
    <comment ref="Q2" authorId="0" shapeId="0" xr:uid="{00000000-0006-0000-0900-000002000000}">
      <text>
        <r>
          <rPr>
            <sz val="8"/>
            <color rgb="FF000000"/>
            <rFont val="Tahoma"/>
            <family val="2"/>
          </rPr>
          <t>Energy Performance Building Directive</t>
        </r>
      </text>
    </comment>
  </commentList>
</comments>
</file>

<file path=xl/sharedStrings.xml><?xml version="1.0" encoding="utf-8"?>
<sst xmlns="http://schemas.openxmlformats.org/spreadsheetml/2006/main" count="1671" uniqueCount="855">
  <si>
    <t>Length</t>
  </si>
  <si>
    <t>Width</t>
  </si>
  <si>
    <t>Area</t>
  </si>
  <si>
    <t>U value</t>
  </si>
  <si>
    <t>Type</t>
  </si>
  <si>
    <t>ROOM</t>
  </si>
  <si>
    <t>FLOOR</t>
  </si>
  <si>
    <t>ROOM NAME</t>
  </si>
  <si>
    <t>→</t>
  </si>
  <si>
    <t>Area =</t>
  </si>
  <si>
    <t>OUTSIDE WALLS</t>
  </si>
  <si>
    <t>Wall standard Building Regs 1996</t>
  </si>
  <si>
    <t>PROJECT:</t>
  </si>
  <si>
    <t>JOB NUMBER:</t>
  </si>
  <si>
    <t>Infiltration Rate</t>
  </si>
  <si>
    <t>Mechanical Vent</t>
  </si>
  <si>
    <r>
      <rPr>
        <sz val="10"/>
        <rFont val="Calibri"/>
        <family val="2"/>
      </rPr>
      <t>Σ</t>
    </r>
    <r>
      <rPr>
        <sz val="10"/>
        <rFont val="Arial"/>
        <family val="2"/>
      </rPr>
      <t xml:space="preserve"> Glass</t>
    </r>
  </si>
  <si>
    <t>In</t>
  </si>
  <si>
    <t>Out</t>
  </si>
  <si>
    <t>GLAZING</t>
  </si>
  <si>
    <t>Glass 1</t>
  </si>
  <si>
    <t>Glass 2</t>
  </si>
  <si>
    <t>Glass 3</t>
  </si>
  <si>
    <t>Glass 4</t>
  </si>
  <si>
    <t>VENTILATION</t>
  </si>
  <si>
    <r>
      <t xml:space="preserve">Heat Recovery </t>
    </r>
    <r>
      <rPr>
        <sz val="10"/>
        <rFont val="Calibri"/>
        <family val="2"/>
      </rPr>
      <t>η:</t>
    </r>
  </si>
  <si>
    <t>Vent Loss =</t>
  </si>
  <si>
    <t>Glass loss =</t>
  </si>
  <si>
    <t>Wall loss =</t>
  </si>
  <si>
    <t>ROOF</t>
  </si>
  <si>
    <t>Roof loss =</t>
  </si>
  <si>
    <t>HEAT INPUT REQUIREMENT =</t>
  </si>
  <si>
    <t>STEADY STATE HEAT LOSS =</t>
  </si>
  <si>
    <t>ROOF &amp; FLOOR</t>
  </si>
  <si>
    <t>Floor loss =</t>
  </si>
  <si>
    <t>FL</t>
  </si>
  <si>
    <t>TEMP</t>
  </si>
  <si>
    <t>Roof Type:</t>
  </si>
  <si>
    <t>Floor Type:</t>
  </si>
  <si>
    <t>Type:</t>
  </si>
  <si>
    <t>L2A generic floor</t>
  </si>
  <si>
    <t>L2B generic floor</t>
  </si>
  <si>
    <t>Carpet + 20mm timber + 150EPS Slab</t>
  </si>
  <si>
    <t>Int-floor bare solid</t>
  </si>
  <si>
    <t>Standard BR 2002 Exposed</t>
  </si>
  <si>
    <t>Large Grd floor</t>
  </si>
  <si>
    <t>Plasterboard 100mm joists Timber Ashphalt</t>
  </si>
  <si>
    <t>Int-floor timber Joist PB</t>
  </si>
  <si>
    <t>Carpet 19 timber 300 joists 12mm PB</t>
  </si>
  <si>
    <t>Carpet 50 screed 150 conc slab 100 fib ins</t>
  </si>
  <si>
    <t>Carpet 19 chipboard 150min fib PB</t>
  </si>
  <si>
    <t>Lino 50screed 150 conc slab 100 fibre ins 12 PB</t>
  </si>
  <si>
    <t>Carpet Screed 300conc slab 700void 12 PB</t>
  </si>
  <si>
    <t>25wood 150 conc 50 cav 12 plaster</t>
  </si>
  <si>
    <t>150 ESP timber &amp; carpet</t>
  </si>
  <si>
    <t>Inside Temperature:</t>
  </si>
  <si>
    <t>Outside Temperature:</t>
  </si>
  <si>
    <t>% Warm-Up:</t>
  </si>
  <si>
    <t>Room Height (General):</t>
  </si>
  <si>
    <t>12 PB 220 EPS/joists 20 f/board</t>
  </si>
  <si>
    <t>19 timb 300 joists 12PB</t>
  </si>
  <si>
    <t>1965 Building Regulations Roof</t>
  </si>
  <si>
    <t>1976 Building Regulations Roof</t>
  </si>
  <si>
    <t>1982 Building Regulations Roof</t>
  </si>
  <si>
    <t>1990 Part L Building Regulations Roof</t>
  </si>
  <si>
    <t>2002 L1 Building Regulations Roof</t>
  </si>
  <si>
    <t>2007 Part L Building Regulations Roof</t>
  </si>
  <si>
    <t>Bitumen 100 poly ins 75 screed 150 conc</t>
  </si>
  <si>
    <t>BR 1996 Roof</t>
  </si>
  <si>
    <t>Insulated Loft to BR 2002</t>
  </si>
  <si>
    <t xml:space="preserve">L2A '06 generic roof </t>
  </si>
  <si>
    <t>L2B '06 pitched roof</t>
  </si>
  <si>
    <t xml:space="preserve">PB 220 Mineral Wool + Tiled Pitched Roof </t>
  </si>
  <si>
    <t>Plaster 150conc 50mm screed ashphalt</t>
  </si>
  <si>
    <t>Screed 250 conc 75ins void PB</t>
  </si>
  <si>
    <t>2004 L1 Building Regulations Floor</t>
  </si>
  <si>
    <t>2007 Part L BR Floor</t>
  </si>
  <si>
    <t>1990 Part L BR Floor</t>
  </si>
  <si>
    <t>1996 Standard BR Floor</t>
  </si>
  <si>
    <t>1966 Building Regulations Wall</t>
  </si>
  <si>
    <t>1982 Building Regulations Wall</t>
  </si>
  <si>
    <t>1976 Building Regulations Wall</t>
  </si>
  <si>
    <t>1990 Part L Wall</t>
  </si>
  <si>
    <t>2007 Part L BR Garage Doors</t>
  </si>
  <si>
    <t>2007 Part L BR Curtain Walling</t>
  </si>
  <si>
    <t>2007 Part L BR Wall</t>
  </si>
  <si>
    <t>Single Glazed Windows</t>
  </si>
  <si>
    <t>Triple Glazed</t>
  </si>
  <si>
    <t>Triple Glazed Argon Filled</t>
  </si>
  <si>
    <t>Double Clear Metal frame</t>
  </si>
  <si>
    <t>Double BTG (Glass only)</t>
  </si>
  <si>
    <t>Double Clear (Glass only)</t>
  </si>
  <si>
    <t>Double Reflecting (Glass only)</t>
  </si>
  <si>
    <t>Double 6mm Antisun (Glass only)</t>
  </si>
  <si>
    <t>Double 4/6mm Argon filled Low E (Glass only)</t>
  </si>
  <si>
    <t>Double 4/6mm Low E (Glass only)</t>
  </si>
  <si>
    <t>Double 6/6mm Low E (Glass only)</t>
  </si>
  <si>
    <t>Double Clear Wood Frame</t>
  </si>
  <si>
    <t>Double Clear UPVC Frame</t>
  </si>
  <si>
    <t>Double 10/6mm Antisun Low E (Glass only)</t>
  </si>
  <si>
    <t>Double Glazed Rooflight Argon Filled Low E</t>
  </si>
  <si>
    <t>Double Clear UPVC Frame Low E</t>
  </si>
  <si>
    <t>Double Clear Wood Frame Low E</t>
  </si>
  <si>
    <t>Double Clear Metal Frame Low E</t>
  </si>
  <si>
    <t>Rooflight Double Glazed Timber/UPVE Low E</t>
  </si>
  <si>
    <t>Rooflight Double Glazed Aluminium Low E</t>
  </si>
  <si>
    <t xml:space="preserve">Rooflight Double Glazed </t>
  </si>
  <si>
    <t xml:space="preserve">Rooflight Single Glazed </t>
  </si>
  <si>
    <t>guess</t>
  </si>
  <si>
    <t>Solid (4x4m) 4 Exposed Edges</t>
  </si>
  <si>
    <t>Solid (4x4m) 2 Exposed Edges</t>
  </si>
  <si>
    <t>Solid (10x10m) 4 Exposed Edges</t>
  </si>
  <si>
    <t>Solid (20x20m) 4 Exposed Edges</t>
  </si>
  <si>
    <t>Solid (10x10m) 2 Exposed Edges</t>
  </si>
  <si>
    <t>Solid (20x20m) 2 Exposed Edges</t>
  </si>
  <si>
    <t>Solid (60x20m) 4 Exposed Edges</t>
  </si>
  <si>
    <t>Solid (60x20m) 2 Exposed Edges</t>
  </si>
  <si>
    <t>CIBSE</t>
  </si>
  <si>
    <t>Including Pre-heat</t>
  </si>
  <si>
    <t>Steady State</t>
  </si>
  <si>
    <t>TOTAL BUILDING HEAT LOSS:</t>
  </si>
  <si>
    <t>ENGINEER:</t>
  </si>
  <si>
    <t>HWS STORAGE:</t>
  </si>
  <si>
    <t>Pre-Heat:</t>
  </si>
  <si>
    <t>HWS LOAD:</t>
  </si>
  <si>
    <t>If simultaneous HWS!</t>
  </si>
  <si>
    <t>MAX HEATING LOAD:</t>
  </si>
  <si>
    <t xml:space="preserve">Brick, Cavity, Ply, 140 Mineral Fibre Stud, Plasterboard </t>
  </si>
  <si>
    <t>Brick, 150 EPS Insulation, Concrete Block, Dense Plaster</t>
  </si>
  <si>
    <t>Brick, 100 Fibre Insulation, Blockwork, Plaster</t>
  </si>
  <si>
    <t>Brick, 100 BF Insulation, Light Weight Concrete Block, Dense Plaster</t>
  </si>
  <si>
    <t>Brick, Cavity, Plywood, 100 Fibre Insulation, Plasterboard</t>
  </si>
  <si>
    <t>Brick, Cavity, Ply, 95 Mineral Fibre Stud, Plasterboard</t>
  </si>
  <si>
    <t>Cymap</t>
  </si>
  <si>
    <t>Plasterboard, 90 Mineral Fibre slab, Block, Cavity, Brick</t>
  </si>
  <si>
    <t>Plaster, Block, 50 UF Insulaton, Brick</t>
  </si>
  <si>
    <t>Plasterboard, 75 Insulation, Block, 50 Cavity, Brick</t>
  </si>
  <si>
    <t>Brick, 50 Rockwool, Block, Plaster</t>
  </si>
  <si>
    <t>Brick, 75 Fibre Insulation, Block, Plasterboard Batten</t>
  </si>
  <si>
    <t>Plaster, Concrete Block, 50 UF Insulation, Brick</t>
  </si>
  <si>
    <t>Brick, 50 EPS Insulation, Block, Plaster</t>
  </si>
  <si>
    <t>Brick, 50 Fibre Insulation, Block, Plaster</t>
  </si>
  <si>
    <t>Brick, Cavity, 25 EPS Insulation, Block, Plaster</t>
  </si>
  <si>
    <t>Brick, 50 UF Foam, Block, Plaster</t>
  </si>
  <si>
    <t>Render, 50 EPS Insulation, Double Brick, Plaster</t>
  </si>
  <si>
    <t>Brick, 50 Mineral Fibre Insulation, Plasterboard on batten</t>
  </si>
  <si>
    <t>Render, Concrete, 50 Mineral Fibre Insulation, Plasterboard Battens</t>
  </si>
  <si>
    <t>Concrete, 50 EPS Insulation, Concrete, Plasterboard</t>
  </si>
  <si>
    <t>Render, 50 Insulation, Block, Plaster</t>
  </si>
  <si>
    <t>Brick, Cavity, Block, Plaster</t>
  </si>
  <si>
    <t>Concrete, 25 EPS Insulation, Concrete ,50 Cavity, Plaster</t>
  </si>
  <si>
    <t>Concrete, 25 EPS Insulation, Concrete, Plaster</t>
  </si>
  <si>
    <t>Brick, 50 Cavity, Block, Plaster</t>
  </si>
  <si>
    <t>Brick, Cavity,Ply, Stud, Plaster</t>
  </si>
  <si>
    <t>600 Stone, Cavity, Plaster, Laths</t>
  </si>
  <si>
    <t>Brick, Cavity, Plasterboard</t>
  </si>
  <si>
    <t>Render, Concrete, 50 Mineral Fibre Insulation, Plasterboard, Batten</t>
  </si>
  <si>
    <t>Render, Concrete, 50 Cavity, Plasterboard</t>
  </si>
  <si>
    <t>Brick,Plaster</t>
  </si>
  <si>
    <t>Brick 220mm</t>
  </si>
  <si>
    <t>Render, Block, Plaster</t>
  </si>
  <si>
    <t>Brick, 50 Rockwool, Brick, Plaster</t>
  </si>
  <si>
    <t>Brick, 50 Cavity, Brick, Plaster</t>
  </si>
  <si>
    <t>Brick, Cavity, Battens, Plasterboard</t>
  </si>
  <si>
    <t>Render, Block, 25 Poly Insulation, Plasterboard</t>
  </si>
  <si>
    <t>Brick, Cavity, Brick, Plaster</t>
  </si>
  <si>
    <t>Brick, 50 Min Wool Insulation, Battens, Plaster</t>
  </si>
  <si>
    <t>Brick, 50 UF Foam Brick, Plaster</t>
  </si>
  <si>
    <t>Heat Retained within Structure:</t>
  </si>
  <si>
    <t>Floor Area:</t>
  </si>
  <si>
    <t>Brick</t>
  </si>
  <si>
    <t>Thermal Conductivity</t>
  </si>
  <si>
    <t>Density</t>
  </si>
  <si>
    <t>Specific Heat Capacity</t>
  </si>
  <si>
    <t>Aluminium</t>
  </si>
  <si>
    <t>Silver</t>
  </si>
  <si>
    <t>Gold</t>
  </si>
  <si>
    <t>Brass</t>
  </si>
  <si>
    <t>Iron</t>
  </si>
  <si>
    <t>Lead</t>
  </si>
  <si>
    <t>Mercury</t>
  </si>
  <si>
    <t>Bronze</t>
  </si>
  <si>
    <t>Asbestos-cement board</t>
  </si>
  <si>
    <t>Asbestos-cement</t>
  </si>
  <si>
    <t>Asphalt</t>
  </si>
  <si>
    <t>Balsa wood</t>
  </si>
  <si>
    <t>Bitumen</t>
  </si>
  <si>
    <t>Brick dense</t>
  </si>
  <si>
    <t>Cement, mortar</t>
  </si>
  <si>
    <t>Chalk</t>
  </si>
  <si>
    <t>Concrete, lightweight</t>
  </si>
  <si>
    <t>Concrete, dense</t>
  </si>
  <si>
    <t>Copper</t>
  </si>
  <si>
    <t>Corkboard</t>
  </si>
  <si>
    <t>Cork</t>
  </si>
  <si>
    <t>Cotton Wool insulation</t>
  </si>
  <si>
    <t>Earth, dry</t>
  </si>
  <si>
    <t>Fibreglass</t>
  </si>
  <si>
    <t>Fibre insulating board</t>
  </si>
  <si>
    <t>Fireclay brick 500oC</t>
  </si>
  <si>
    <t>Glass</t>
  </si>
  <si>
    <t>Granite</t>
  </si>
  <si>
    <t>Gravel</t>
  </si>
  <si>
    <t>Hardwoods (oak, maple..)</t>
  </si>
  <si>
    <t>Ice (0oC, 32oF)</t>
  </si>
  <si>
    <t>Iron, cast</t>
  </si>
  <si>
    <t>Leather, dry</t>
  </si>
  <si>
    <t>Limestone</t>
  </si>
  <si>
    <t>Marble</t>
  </si>
  <si>
    <t>Paper</t>
  </si>
  <si>
    <t>Plaster light</t>
  </si>
  <si>
    <t>Plaster, metal lath</t>
  </si>
  <si>
    <t>Plaster, sand</t>
  </si>
  <si>
    <t>Platinum</t>
  </si>
  <si>
    <t>Plywood</t>
  </si>
  <si>
    <t>Polypropylene</t>
  </si>
  <si>
    <t>Polyurethane foam</t>
  </si>
  <si>
    <t>Porcelain</t>
  </si>
  <si>
    <t>PVC</t>
  </si>
  <si>
    <t>Rubber, natural</t>
  </si>
  <si>
    <t>Sand, dry</t>
  </si>
  <si>
    <t>Sandstone</t>
  </si>
  <si>
    <t>Sawdust</t>
  </si>
  <si>
    <t>Sheeps wool</t>
  </si>
  <si>
    <t>Slate</t>
  </si>
  <si>
    <t>Stainless Steel</t>
  </si>
  <si>
    <t>Straw slab insulation, compressed</t>
  </si>
  <si>
    <t>Styrofoam</t>
  </si>
  <si>
    <t>Timber</t>
  </si>
  <si>
    <t>Zinc Zn</t>
  </si>
  <si>
    <t>Vermiculite</t>
  </si>
  <si>
    <t>Water</t>
  </si>
  <si>
    <t>Wood, oak</t>
  </si>
  <si>
    <t>Blockwork</t>
  </si>
  <si>
    <t>Stone</t>
  </si>
  <si>
    <t>Steel</t>
  </si>
  <si>
    <t>Plasterboard</t>
  </si>
  <si>
    <t>Wood - pine</t>
  </si>
  <si>
    <t>Material</t>
  </si>
  <si>
    <t>Concrete, block (aerated)</t>
  </si>
  <si>
    <t>Airspaces</t>
  </si>
  <si>
    <t>Thermal Resistance</t>
  </si>
  <si>
    <t>Airspace &gt;25mm (horizontal)</t>
  </si>
  <si>
    <t>Airspace &gt;25mm (horizontal low e)</t>
  </si>
  <si>
    <t>Airspace &gt;25mm (up)</t>
  </si>
  <si>
    <t>Airspace &gt;25mm (up low e)</t>
  </si>
  <si>
    <t>Airspace &gt;25mm (down)</t>
  </si>
  <si>
    <t>Airspace &gt;25mm (down low e)</t>
  </si>
  <si>
    <t>Airspace 10mm (horizontal)</t>
  </si>
  <si>
    <t>Airspace cavity construction</t>
  </si>
  <si>
    <t>Loft space (no felt)</t>
  </si>
  <si>
    <t>Loft space (with felt)</t>
  </si>
  <si>
    <t>Tin</t>
  </si>
  <si>
    <t>Rso (wall)</t>
  </si>
  <si>
    <t>Rso (roof)</t>
  </si>
  <si>
    <t>Rsi (wall)</t>
  </si>
  <si>
    <t>Rsi (roof)</t>
  </si>
  <si>
    <t>Celotex</t>
  </si>
  <si>
    <t>Kingspan</t>
  </si>
  <si>
    <t>Carpet</t>
  </si>
  <si>
    <t>Plaster</t>
  </si>
  <si>
    <t>Tiles (clay)</t>
  </si>
  <si>
    <t>Concrete (cast)</t>
  </si>
  <si>
    <t>Concrete (block HW)</t>
  </si>
  <si>
    <t>Soil (sandy)</t>
  </si>
  <si>
    <t>Soil (clay)</t>
  </si>
  <si>
    <t>Oak</t>
  </si>
  <si>
    <t>Pine</t>
  </si>
  <si>
    <t>INSIDE</t>
  </si>
  <si>
    <t>Thickness</t>
  </si>
  <si>
    <t>If material</t>
  </si>
  <si>
    <t>if gap</t>
  </si>
  <si>
    <t>OUTSIDE</t>
  </si>
  <si>
    <t>U VALUE:</t>
  </si>
  <si>
    <t>Calculated</t>
  </si>
  <si>
    <t>U Value</t>
  </si>
  <si>
    <t>1965 Building Regulations</t>
  </si>
  <si>
    <t>1976 Building Regulations</t>
  </si>
  <si>
    <t>1982 Building Regulations</t>
  </si>
  <si>
    <t>1985 Part L 1990 edition</t>
  </si>
  <si>
    <t>Part L &amp; EPBD 2010</t>
  </si>
  <si>
    <t>Limiting U-Value</t>
  </si>
  <si>
    <t>Enhanced</t>
  </si>
  <si>
    <t>Roof</t>
  </si>
  <si>
    <t>Dwellings</t>
  </si>
  <si>
    <t>Walls</t>
  </si>
  <si>
    <t>Floor</t>
  </si>
  <si>
    <t>no requirement</t>
  </si>
  <si>
    <t>Windows</t>
  </si>
  <si>
    <t>Curtain Walling</t>
  </si>
  <si>
    <t>Rsi (floor)</t>
  </si>
  <si>
    <t>Rso (floor)</t>
  </si>
  <si>
    <t>Column1</t>
  </si>
  <si>
    <t>Column2</t>
  </si>
  <si>
    <t>Column3</t>
  </si>
  <si>
    <t>Concrete</t>
  </si>
  <si>
    <t>Insulation</t>
  </si>
  <si>
    <t>Wood</t>
  </si>
  <si>
    <t>Roof - timber/tiled</t>
  </si>
  <si>
    <t>Infil</t>
  </si>
  <si>
    <t>Vent</t>
  </si>
  <si>
    <t>Specific Heat</t>
  </si>
  <si>
    <t>WALL</t>
  </si>
  <si>
    <t>Source</t>
  </si>
  <si>
    <t>Construction</t>
  </si>
  <si>
    <t>estimate</t>
  </si>
  <si>
    <t>Agate</t>
  </si>
  <si>
    <t>Aluminum bronze</t>
  </si>
  <si>
    <t>Antimony</t>
  </si>
  <si>
    <t>Apatite</t>
  </si>
  <si>
    <t>Arsenic</t>
  </si>
  <si>
    <t>Artificial wool</t>
  </si>
  <si>
    <t>Asbestos cement board</t>
  </si>
  <si>
    <t>Asbestos mill board</t>
  </si>
  <si>
    <t>Ashes</t>
  </si>
  <si>
    <t>Augite</t>
  </si>
  <si>
    <t>Bakelite. wood filler</t>
  </si>
  <si>
    <t>Bakelite. asbestos filler</t>
  </si>
  <si>
    <t>Barite</t>
  </si>
  <si>
    <t>Barium</t>
  </si>
  <si>
    <t>Basalt rock</t>
  </si>
  <si>
    <t>Beeswax</t>
  </si>
  <si>
    <t>Beryl</t>
  </si>
  <si>
    <t>Beryllium</t>
  </si>
  <si>
    <t>Bismuth</t>
  </si>
  <si>
    <t>Boile scale</t>
  </si>
  <si>
    <t>Bone</t>
  </si>
  <si>
    <t>Borax</t>
  </si>
  <si>
    <t>Boron</t>
  </si>
  <si>
    <t>Brick, hard</t>
  </si>
  <si>
    <t>Bronze, phosphor</t>
  </si>
  <si>
    <t>Cadmium</t>
  </si>
  <si>
    <t>Calcite 32 - 100F</t>
  </si>
  <si>
    <t>Calcite 32 - 212F</t>
  </si>
  <si>
    <t>Calcium</t>
  </si>
  <si>
    <t>Carbon, Diamond</t>
  </si>
  <si>
    <t>Carbon, Graphite</t>
  </si>
  <si>
    <t>Carborundum</t>
  </si>
  <si>
    <t>Cassiterite</t>
  </si>
  <si>
    <t>Cement dry</t>
  </si>
  <si>
    <t>Cement powder</t>
  </si>
  <si>
    <t>Celluloid</t>
  </si>
  <si>
    <t>Charcoal</t>
  </si>
  <si>
    <t>Chalcopyrite</t>
  </si>
  <si>
    <t>Charcoal, wood</t>
  </si>
  <si>
    <t>Chromium</t>
  </si>
  <si>
    <t>Clay</t>
  </si>
  <si>
    <t>Coal, anthracite</t>
  </si>
  <si>
    <t>Coal, bituminous</t>
  </si>
  <si>
    <t>Cobalt</t>
  </si>
  <si>
    <t>Coke</t>
  </si>
  <si>
    <t>Concrete, stone</t>
  </si>
  <si>
    <t>Concrete, light</t>
  </si>
  <si>
    <t>Constantan</t>
  </si>
  <si>
    <t>Corundum</t>
  </si>
  <si>
    <t>Cotton</t>
  </si>
  <si>
    <t>Diamond</t>
  </si>
  <si>
    <t>Dolomite rock</t>
  </si>
  <si>
    <t>Duralium</t>
  </si>
  <si>
    <t>Electron</t>
  </si>
  <si>
    <t>Emery</t>
  </si>
  <si>
    <t>Fats</t>
  </si>
  <si>
    <t>Fiberboard, light</t>
  </si>
  <si>
    <t>Fiber hardboard</t>
  </si>
  <si>
    <t>Fire brick</t>
  </si>
  <si>
    <t>Fluorite</t>
  </si>
  <si>
    <t>Fluorspar</t>
  </si>
  <si>
    <t>Galena</t>
  </si>
  <si>
    <t>Garnet</t>
  </si>
  <si>
    <t>Glass, crystal</t>
  </si>
  <si>
    <t>Glass, plate</t>
  </si>
  <si>
    <t>Glass, Pyrex</t>
  </si>
  <si>
    <t>Glass, window</t>
  </si>
  <si>
    <t>Glass-wool</t>
  </si>
  <si>
    <t>Graphite</t>
  </si>
  <si>
    <t>Gypsum</t>
  </si>
  <si>
    <t>Hairfelt</t>
  </si>
  <si>
    <t>Hermatite</t>
  </si>
  <si>
    <t>Hornblende</t>
  </si>
  <si>
    <t>Hypersthene</t>
  </si>
  <si>
    <t>Ice -112oF</t>
  </si>
  <si>
    <t>Ice -40oF</t>
  </si>
  <si>
    <t>Ice -4oF</t>
  </si>
  <si>
    <t>Ice 32oF (0oC)</t>
  </si>
  <si>
    <t>India rubber min</t>
  </si>
  <si>
    <t>India rubber max</t>
  </si>
  <si>
    <t>Ingot iron</t>
  </si>
  <si>
    <t>Iodine</t>
  </si>
  <si>
    <t>Iridium</t>
  </si>
  <si>
    <t>Labradorite</t>
  </si>
  <si>
    <t>Lava</t>
  </si>
  <si>
    <t>Litharge</t>
  </si>
  <si>
    <t>Lithium</t>
  </si>
  <si>
    <t>Magnetite</t>
  </si>
  <si>
    <t>Malachite</t>
  </si>
  <si>
    <t>Manganese</t>
  </si>
  <si>
    <t>Magnesia (85%)</t>
  </si>
  <si>
    <t>Magnesium</t>
  </si>
  <si>
    <t>Marble, mica</t>
  </si>
  <si>
    <t>Mica</t>
  </si>
  <si>
    <t>Mineral wool blanket</t>
  </si>
  <si>
    <t>Molybdenum</t>
  </si>
  <si>
    <t>Nickel</t>
  </si>
  <si>
    <t>Oliglocose</t>
  </si>
  <si>
    <t>Orthoclose</t>
  </si>
  <si>
    <t>Osmium</t>
  </si>
  <si>
    <t>Oxide of chrome</t>
  </si>
  <si>
    <t>Paraffin wax</t>
  </si>
  <si>
    <t>Peat</t>
  </si>
  <si>
    <t>Phosphorbronze</t>
  </si>
  <si>
    <t>Phosphorus</t>
  </si>
  <si>
    <t>Pig iron, white</t>
  </si>
  <si>
    <t>Pinchbeck</t>
  </si>
  <si>
    <t>Pit coal</t>
  </si>
  <si>
    <t>Plaster, light</t>
  </si>
  <si>
    <t>Plastics, foam</t>
  </si>
  <si>
    <t>Plastics, solid</t>
  </si>
  <si>
    <t>Potassium</t>
  </si>
  <si>
    <t>Pyrex glass</t>
  </si>
  <si>
    <t>Pyrolusite</t>
  </si>
  <si>
    <t>Pyroxylin plastics</t>
  </si>
  <si>
    <t>Red lead</t>
  </si>
  <si>
    <t>Red metal</t>
  </si>
  <si>
    <t>Rhenium</t>
  </si>
  <si>
    <t>Rhodium</t>
  </si>
  <si>
    <t>Rock salt</t>
  </si>
  <si>
    <t>Rosin</t>
  </si>
  <si>
    <t>Rubber</t>
  </si>
  <si>
    <t>Rubidium</t>
  </si>
  <si>
    <t>Salt</t>
  </si>
  <si>
    <t>Selenium</t>
  </si>
  <si>
    <t>Serpentine</t>
  </si>
  <si>
    <t>Silica aerogel</t>
  </si>
  <si>
    <t>Silicon</t>
  </si>
  <si>
    <t>Silicon, carbide</t>
  </si>
  <si>
    <t>Silk</t>
  </si>
  <si>
    <t>Sodium</t>
  </si>
  <si>
    <t>Soil, dry</t>
  </si>
  <si>
    <t>Soil, wet</t>
  </si>
  <si>
    <t>Steatite</t>
  </si>
  <si>
    <t>Stoneware</t>
  </si>
  <si>
    <t>Sulphur, sulfur</t>
  </si>
  <si>
    <t>Tantalium</t>
  </si>
  <si>
    <t>Tar</t>
  </si>
  <si>
    <t>Tellurium</t>
  </si>
  <si>
    <t>Thorium</t>
  </si>
  <si>
    <t>Tile hollow</t>
  </si>
  <si>
    <t>Titanium</t>
  </si>
  <si>
    <t>Topaz</t>
  </si>
  <si>
    <t>Tungsten</t>
  </si>
  <si>
    <t>Uranium</t>
  </si>
  <si>
    <t>Vanadium</t>
  </si>
  <si>
    <t>Vulcanite</t>
  </si>
  <si>
    <t>Wax</t>
  </si>
  <si>
    <t>Welding iron</t>
  </si>
  <si>
    <t>White metal</t>
  </si>
  <si>
    <t>Wood, balsa</t>
  </si>
  <si>
    <t>Wool, loose</t>
  </si>
  <si>
    <t>Wool, felt</t>
  </si>
  <si>
    <t>Zinc</t>
  </si>
  <si>
    <t>ABS</t>
  </si>
  <si>
    <t>Acetals</t>
  </si>
  <si>
    <t>Acrylic</t>
  </si>
  <si>
    <t>Alabaster carbonate</t>
  </si>
  <si>
    <t>Alabaster sulfate</t>
  </si>
  <si>
    <t>Alum, lumpy</t>
  </si>
  <si>
    <t>Alum, pulverized</t>
  </si>
  <si>
    <t>Alumina (aluminium oxide)</t>
  </si>
  <si>
    <t>Albite</t>
  </si>
  <si>
    <t>Amber</t>
  </si>
  <si>
    <t>Amphiboles</t>
  </si>
  <si>
    <t>Andesite, solid</t>
  </si>
  <si>
    <t>Anorthite</t>
  </si>
  <si>
    <t>Antimony, cast</t>
  </si>
  <si>
    <t>Asbestos</t>
  </si>
  <si>
    <t>Asbestos, shredded</t>
  </si>
  <si>
    <t>Asbestos, solid</t>
  </si>
  <si>
    <t>Asphalt, compacted</t>
  </si>
  <si>
    <t>Asphalt, crushed</t>
  </si>
  <si>
    <t>Bakelite</t>
  </si>
  <si>
    <t>Baking powder</t>
  </si>
  <si>
    <t>Barite, crushed</t>
  </si>
  <si>
    <t>Bark, wood refuse</t>
  </si>
  <si>
    <t>Barytes</t>
  </si>
  <si>
    <t>Basalt</t>
  </si>
  <si>
    <t>Bauxite, crushed</t>
  </si>
  <si>
    <t>Biotite</t>
  </si>
  <si>
    <t>Boiler scale</t>
  </si>
  <si>
    <t>Bone, pulverized</t>
  </si>
  <si>
    <t>Borax, fine</t>
  </si>
  <si>
    <t>Bronce</t>
  </si>
  <si>
    <t>Brown iron ore</t>
  </si>
  <si>
    <t>Butter</t>
  </si>
  <si>
    <t>Calamine</t>
  </si>
  <si>
    <t>Calcspar</t>
  </si>
  <si>
    <t>Camphor</t>
  </si>
  <si>
    <t>Carbon</t>
  </si>
  <si>
    <t>Caoutchouc</t>
  </si>
  <si>
    <t>Cardboard</t>
  </si>
  <si>
    <t>Cast Iron</t>
  </si>
  <si>
    <t>Cellulose, cotton, wood pulp, regenerated</t>
  </si>
  <si>
    <t>Cellulose acetat, moulded</t>
  </si>
  <si>
    <t>Cellulose acetat, sheet</t>
  </si>
  <si>
    <t>Cellulose nitrate, celluloid</t>
  </si>
  <si>
    <t>Chlorinated polyether</t>
  </si>
  <si>
    <t>Cement, set</t>
  </si>
  <si>
    <t>Cement, Portland</t>
  </si>
  <si>
    <t>Cerium</t>
  </si>
  <si>
    <t>Charcoal, oak</t>
  </si>
  <si>
    <t>Charcoal, pine</t>
  </si>
  <si>
    <t>Chrom oxide</t>
  </si>
  <si>
    <t>Cinnabar</t>
  </si>
  <si>
    <t>Cocoa, butter</t>
  </si>
  <si>
    <t>Concrete, medium</t>
  </si>
  <si>
    <t>Copal</t>
  </si>
  <si>
    <t>Cork, linoleum</t>
  </si>
  <si>
    <t>CPVC</t>
  </si>
  <si>
    <t>Lead Crystal</t>
  </si>
  <si>
    <t>Dolomite</t>
  </si>
  <si>
    <t>Earth, loose</t>
  </si>
  <si>
    <t>Earth, rammed</t>
  </si>
  <si>
    <t>Ebonite</t>
  </si>
  <si>
    <t>Epidote</t>
  </si>
  <si>
    <t>Epoxy cast resin</t>
  </si>
  <si>
    <t>Epoxy glass fibre</t>
  </si>
  <si>
    <t>Expanded polystyrene</t>
  </si>
  <si>
    <t>Feldspar</t>
  </si>
  <si>
    <t>Flint</t>
  </si>
  <si>
    <t>Gallium</t>
  </si>
  <si>
    <t>Gamboge</t>
  </si>
  <si>
    <t>Gas carbon</t>
  </si>
  <si>
    <t>Gelatin</t>
  </si>
  <si>
    <t>Germanium</t>
  </si>
  <si>
    <t>Glass, common</t>
  </si>
  <si>
    <t>Glass, flint</t>
  </si>
  <si>
    <t>Glue</t>
  </si>
  <si>
    <t>Gneiss</t>
  </si>
  <si>
    <t>Gum arabic</t>
  </si>
  <si>
    <t>Hematite</t>
  </si>
  <si>
    <t>Ice</t>
  </si>
  <si>
    <t>Ivory</t>
  </si>
  <si>
    <t>Lime, slaked</t>
  </si>
  <si>
    <t>Linoleum</t>
  </si>
  <si>
    <t>Magnesia</t>
  </si>
  <si>
    <t>Meerschaum</t>
  </si>
  <si>
    <t>Mineral wool quilt</t>
  </si>
  <si>
    <t>Muscovite</t>
  </si>
  <si>
    <t>Nylon-6</t>
  </si>
  <si>
    <t>Nylon-66</t>
  </si>
  <si>
    <t>Ochre</t>
  </si>
  <si>
    <t>Opal</t>
  </si>
  <si>
    <t>Palladium</t>
  </si>
  <si>
    <t>Paraffin</t>
  </si>
  <si>
    <t>Peat blocks</t>
  </si>
  <si>
    <t>Phenolic cast resin</t>
  </si>
  <si>
    <t>Phosphorbronce</t>
  </si>
  <si>
    <t>Pitch</t>
  </si>
  <si>
    <t>Polyacrylonitrile</t>
  </si>
  <si>
    <t>Polycarbonates</t>
  </si>
  <si>
    <t>Polyethylene, PEH</t>
  </si>
  <si>
    <t>Polystyrene</t>
  </si>
  <si>
    <t>Porphyry</t>
  </si>
  <si>
    <t>Pressed wood, pulp board</t>
  </si>
  <si>
    <t>Polytetrafluoroethylene, PTFE, teflon</t>
  </si>
  <si>
    <t>Polyvinyl chloride, PVC</t>
  </si>
  <si>
    <t>Pyrite</t>
  </si>
  <si>
    <t>Quartz</t>
  </si>
  <si>
    <t>Radium</t>
  </si>
  <si>
    <t>Resin</t>
  </si>
  <si>
    <t>Rubber, hard</t>
  </si>
  <si>
    <t>Rubber, soft commercial</t>
  </si>
  <si>
    <t>Rubber, pure gum</t>
  </si>
  <si>
    <t>Silica, fused transparent</t>
  </si>
  <si>
    <t>Silica, translucent</t>
  </si>
  <si>
    <t>Slag</t>
  </si>
  <si>
    <t>Snow</t>
  </si>
  <si>
    <t>Soapstone</t>
  </si>
  <si>
    <t>Soot</t>
  </si>
  <si>
    <t>Spermaceti</t>
  </si>
  <si>
    <t>Starch</t>
  </si>
  <si>
    <t>Sulfur, cryst.</t>
  </si>
  <si>
    <t>Sugar</t>
  </si>
  <si>
    <t>Talc</t>
  </si>
  <si>
    <t>Tallow, beef</t>
  </si>
  <si>
    <t>Tallow, mutton</t>
  </si>
  <si>
    <t>Tantalum</t>
  </si>
  <si>
    <t>Tourmaline</t>
  </si>
  <si>
    <t>Urea formaldehyde foam</t>
  </si>
  <si>
    <t>Wax, sealing</t>
  </si>
  <si>
    <t>50 screed 150 concrete</t>
  </si>
  <si>
    <t>=</t>
  </si>
  <si>
    <t>U-VALUE CALCULATION</t>
  </si>
  <si>
    <t>2002 Building Regs Part L1</t>
  </si>
  <si>
    <t>Area=</t>
  </si>
  <si>
    <t>Hrs / Day:</t>
  </si>
  <si>
    <t>Mean Ext Winter Temp:</t>
  </si>
  <si>
    <t>Days / Week:</t>
  </si>
  <si>
    <t>Weeks / Year:</t>
  </si>
  <si>
    <t>Inside Temp:</t>
  </si>
  <si>
    <t>Fuel Cost:</t>
  </si>
  <si>
    <t>Seasonal Fuel Efficiency:</t>
  </si>
  <si>
    <t>Brick, 90mm Celotex, Plasterboard</t>
  </si>
  <si>
    <t>Height</t>
  </si>
  <si>
    <t>No. of</t>
  </si>
  <si>
    <t>Perspex</t>
  </si>
  <si>
    <t>Stone (dense)</t>
  </si>
  <si>
    <t>Elemental Percentage</t>
  </si>
  <si>
    <t>Air Gap Selection</t>
  </si>
  <si>
    <t>AIRSPACE 1</t>
  </si>
  <si>
    <t>AIRSPACE 2</t>
  </si>
  <si>
    <t>AIRSPACE 3</t>
  </si>
  <si>
    <t>AIRSPACE 4</t>
  </si>
  <si>
    <t>AIRSPACE 5</t>
  </si>
  <si>
    <t>Single Sash + Perspex Sec Glazing</t>
  </si>
  <si>
    <t>Door</t>
  </si>
  <si>
    <t xml:space="preserve">Door-Solid Wood </t>
  </si>
  <si>
    <t>UAdT</t>
  </si>
  <si>
    <t>INF + VENT</t>
  </si>
  <si>
    <t>TOTAL</t>
  </si>
  <si>
    <t>TOTAL SS</t>
  </si>
  <si>
    <t>Cement Board</t>
  </si>
  <si>
    <t>Rockwool</t>
  </si>
  <si>
    <t>Paving Slab</t>
  </si>
  <si>
    <r>
      <t>Aluminum, 0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C</t>
    </r>
  </si>
  <si>
    <r>
      <t>Iron, 20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C</t>
    </r>
  </si>
  <si>
    <r>
      <t>Platinum, 0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C</t>
    </r>
  </si>
  <si>
    <r>
      <t>Quartz mineral 32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F (0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C)</t>
    </r>
  </si>
  <si>
    <r>
      <t>Quartz mineral 55 - 212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F</t>
    </r>
  </si>
  <si>
    <r>
      <t>Silver, 20</t>
    </r>
    <r>
      <rPr>
        <vertAlign val="superscript"/>
        <sz val="9"/>
        <rFont val="Arial"/>
        <family val="2"/>
      </rPr>
      <t>o</t>
    </r>
    <r>
      <rPr>
        <sz val="9"/>
        <rFont val="Arial"/>
        <family val="2"/>
      </rPr>
      <t>C</t>
    </r>
  </si>
  <si>
    <t>Screed</t>
  </si>
  <si>
    <t>2300-2700</t>
  </si>
  <si>
    <t>Hardboard</t>
  </si>
  <si>
    <t>0..08</t>
  </si>
  <si>
    <t>4900-5200</t>
  </si>
  <si>
    <t>3700-4100</t>
  </si>
  <si>
    <t>2600 - 3200</t>
  </si>
  <si>
    <t>8600 - 9100</t>
  </si>
  <si>
    <t>2700 - 2800</t>
  </si>
  <si>
    <t>2600 - 2650</t>
  </si>
  <si>
    <t>3950 - 4100</t>
  </si>
  <si>
    <t>1060 - 1100</t>
  </si>
  <si>
    <t>2900 - 3200</t>
  </si>
  <si>
    <t>2740 - 2760</t>
  </si>
  <si>
    <t>2000 - 2800</t>
  </si>
  <si>
    <t>2400 - 3100</t>
  </si>
  <si>
    <t>2700 - 3100</t>
  </si>
  <si>
    <t>1700 - 2000</t>
  </si>
  <si>
    <t>4100 - 4500</t>
  </si>
  <si>
    <t>2600 - 2800</t>
  </si>
  <si>
    <t>900 - 1000</t>
  </si>
  <si>
    <t>1220 - 1340</t>
  </si>
  <si>
    <t>1280 - 1320</t>
  </si>
  <si>
    <t>1350 - 1400</t>
  </si>
  <si>
    <t>1480 - 1530</t>
  </si>
  <si>
    <t>2700 - 3000</t>
  </si>
  <si>
    <t>300 - 400</t>
  </si>
  <si>
    <t>1300 - 1700</t>
  </si>
  <si>
    <t>1000 - 1150</t>
  </si>
  <si>
    <t>3200 - 3500</t>
  </si>
  <si>
    <t>1110 - 1400</t>
  </si>
  <si>
    <t>150 - 300</t>
  </si>
  <si>
    <t>1800 - 2200</t>
  </si>
  <si>
    <t>7300 - 7600</t>
  </si>
  <si>
    <t>3200 - 4300</t>
  </si>
  <si>
    <t>2400 - 2800</t>
  </si>
  <si>
    <t>2900 - 5900</t>
  </si>
  <si>
    <t>1300 - 1400</t>
  </si>
  <si>
    <t>4900 - 5300</t>
  </si>
  <si>
    <t>1800 - 1900</t>
  </si>
  <si>
    <t>3200 - 3600</t>
  </si>
  <si>
    <t>1000 - 1300</t>
  </si>
  <si>
    <t>2800 - 3000</t>
  </si>
  <si>
    <t>1120 - 1170</t>
  </si>
  <si>
    <t>1130 - 1150</t>
  </si>
  <si>
    <t>700 - 1150</t>
  </si>
  <si>
    <t>1240 - 1320</t>
  </si>
  <si>
    <t>1160 - 1180</t>
  </si>
  <si>
    <t>910 - 970</t>
  </si>
  <si>
    <t>2300 - 2500</t>
  </si>
  <si>
    <t>2600 - 2900</t>
  </si>
  <si>
    <t>4900 - 5100</t>
  </si>
  <si>
    <t>910 - 930</t>
  </si>
  <si>
    <t>1400 - 1600</t>
  </si>
  <si>
    <t>2500 - 2650</t>
  </si>
  <si>
    <t>2000 - 3900</t>
  </si>
  <si>
    <t>1600 - 1700</t>
  </si>
  <si>
    <t>2600 - 2700</t>
  </si>
  <si>
    <t>3000 - 3200</t>
  </si>
  <si>
    <t>7500 - 10000</t>
  </si>
  <si>
    <t>Oak Parquet</t>
  </si>
  <si>
    <t>Metal</t>
  </si>
  <si>
    <t>Steel, Iron</t>
  </si>
  <si>
    <t>Natural stone</t>
  </si>
  <si>
    <t>Basalt, Granite</t>
  </si>
  <si>
    <t>Bluestone, Marble</t>
  </si>
  <si>
    <t>Masonry</t>
  </si>
  <si>
    <t>1600-1900</t>
  </si>
  <si>
    <t>0.6-0.7</t>
  </si>
  <si>
    <t>0.9-1.2</t>
  </si>
  <si>
    <t>Sand-lime brick</t>
  </si>
  <si>
    <t>1000-1400</t>
  </si>
  <si>
    <t>0.5-0.7</t>
  </si>
  <si>
    <t>Gravel concrete</t>
  </si>
  <si>
    <t>2300-2500</t>
  </si>
  <si>
    <t>Light concrete</t>
  </si>
  <si>
    <t>0.7-0.9</t>
  </si>
  <si>
    <t>1.2-1.4</t>
  </si>
  <si>
    <t>1000-1300</t>
  </si>
  <si>
    <t>0.35-0.5</t>
  </si>
  <si>
    <t>0.5-0.8</t>
  </si>
  <si>
    <t>300-700</t>
  </si>
  <si>
    <t>0.12-0.23</t>
  </si>
  <si>
    <t>Pumice powder concrete</t>
  </si>
  <si>
    <t>0.5-0.95</t>
  </si>
  <si>
    <t>700-1000</t>
  </si>
  <si>
    <t>0.23-0.35</t>
  </si>
  <si>
    <t>Isolation concrete</t>
  </si>
  <si>
    <t>Cellular concrete</t>
  </si>
  <si>
    <t>0.7-1.2</t>
  </si>
  <si>
    <t>400-700</t>
  </si>
  <si>
    <t>0.17-0.23</t>
  </si>
  <si>
    <t>Slag concrete</t>
  </si>
  <si>
    <t>0.45-0.70</t>
  </si>
  <si>
    <t>0.7-1.0</t>
  </si>
  <si>
    <t>0.23-0.30</t>
  </si>
  <si>
    <t>Inorganic</t>
  </si>
  <si>
    <t>Asbestos cement</t>
  </si>
  <si>
    <t>0.35-0.7</t>
  </si>
  <si>
    <t>Gypsum board</t>
  </si>
  <si>
    <t>800-1400</t>
  </si>
  <si>
    <t>0.23-0.45</t>
  </si>
  <si>
    <t>Gypsum cardboard</t>
  </si>
  <si>
    <t>Foam glass</t>
  </si>
  <si>
    <t>Rock wool</t>
  </si>
  <si>
    <t>35-200</t>
  </si>
  <si>
    <t>Tiles</t>
  </si>
  <si>
    <t>Plasters</t>
  </si>
  <si>
    <t>Cement</t>
  </si>
  <si>
    <t>Lime</t>
  </si>
  <si>
    <t>Organic</t>
  </si>
  <si>
    <t>Cork (expanded)</t>
  </si>
  <si>
    <t>100-200</t>
  </si>
  <si>
    <t>0.04-0.0045</t>
  </si>
  <si>
    <t>1200-1500</t>
  </si>
  <si>
    <t>0.17-0.3</t>
  </si>
  <si>
    <t>Fibre board</t>
  </si>
  <si>
    <t>200-400</t>
  </si>
  <si>
    <t>0.08-0.12</t>
  </si>
  <si>
    <t>0.09-0.17</t>
  </si>
  <si>
    <t>Hardwood</t>
  </si>
  <si>
    <t>Softwood</t>
  </si>
  <si>
    <t>Hard-board</t>
  </si>
  <si>
    <t>Soft-board</t>
  </si>
  <si>
    <t>Chipboard</t>
  </si>
  <si>
    <t>500-1000</t>
  </si>
  <si>
    <t>0.1-0.3</t>
  </si>
  <si>
    <t>Wood chipboard</t>
  </si>
  <si>
    <t>350-700</t>
  </si>
  <si>
    <t>0.1-0.2</t>
  </si>
  <si>
    <t>Synthetics</t>
  </si>
  <si>
    <t>Polyester (GPV)</t>
  </si>
  <si>
    <t>Polyethene, Polypropene</t>
  </si>
  <si>
    <t>Polyvinyl chloride</t>
  </si>
  <si>
    <t>Synthetic foam</t>
  </si>
  <si>
    <t>Polystyrene foam, exp. (PS)</t>
  </si>
  <si>
    <t>Ditto, extruded</t>
  </si>
  <si>
    <t>30-40</t>
  </si>
  <si>
    <t>Polyurethane foam (PUR)</t>
  </si>
  <si>
    <t>30-150</t>
  </si>
  <si>
    <t>0.025-0.035</t>
  </si>
  <si>
    <t>Phenol acid hard foam</t>
  </si>
  <si>
    <t>25-200</t>
  </si>
  <si>
    <t>PVC-foam</t>
  </si>
  <si>
    <t>20-50</t>
  </si>
  <si>
    <t>Cavity isolation</t>
  </si>
  <si>
    <t>Cavity wall isolation</t>
  </si>
  <si>
    <t>20-100</t>
  </si>
  <si>
    <t>Bituminous materials</t>
  </si>
  <si>
    <t>Snow, fresh</t>
  </si>
  <si>
    <t>80-200</t>
  </si>
  <si>
    <t>Snow, old</t>
  </si>
  <si>
    <t>200-800</t>
  </si>
  <si>
    <t>0.5-1.8</t>
  </si>
  <si>
    <t>Air</t>
  </si>
  <si>
    <t>Soil</t>
  </si>
  <si>
    <t>Woodland soil</t>
  </si>
  <si>
    <t>Clay with sand</t>
  </si>
  <si>
    <t>Damp sandy soil</t>
  </si>
  <si>
    <t>Soil (dry)</t>
  </si>
  <si>
    <t>Floor covering</t>
  </si>
  <si>
    <t>Floor tiles</t>
  </si>
  <si>
    <t>Parquet</t>
  </si>
  <si>
    <t>0.17-0.27</t>
  </si>
  <si>
    <t>Nylon felt carpet</t>
  </si>
  <si>
    <t>Carpet (with foam rubber)</t>
  </si>
  <si>
    <t>0.06-0.07</t>
  </si>
  <si>
    <t>Wool</t>
  </si>
  <si>
    <t>w/mk</t>
  </si>
  <si>
    <t>Wall 2018 U=0.16</t>
  </si>
  <si>
    <t>Fermacel Render</t>
  </si>
  <si>
    <t>Roofing Felt</t>
  </si>
  <si>
    <t>Cembrit Fibre Board</t>
  </si>
  <si>
    <t>OSB Boarding (Bonded Wood Strands)</t>
  </si>
  <si>
    <t>Underlay</t>
  </si>
  <si>
    <t>Underlay Low Thermal Resistance</t>
  </si>
  <si>
    <t>MDF Boarding</t>
  </si>
  <si>
    <t>INNER SURFACE</t>
  </si>
  <si>
    <t>OUTER SURFACE</t>
  </si>
  <si>
    <t>UK BUILDING REGULATIONS</t>
  </si>
  <si>
    <t>2002 Building Regulations Part L1</t>
  </si>
  <si>
    <t>Part L &amp; EPBD 2006</t>
  </si>
  <si>
    <t>Part L 2013</t>
  </si>
  <si>
    <t>Part L 2013/6</t>
  </si>
  <si>
    <t>Garage Doors</t>
  </si>
  <si>
    <t>Doors</t>
  </si>
  <si>
    <t>Swimming Pool Basins</t>
  </si>
  <si>
    <t>Duct Pressure Testing</t>
  </si>
  <si>
    <t>Class A</t>
  </si>
  <si>
    <r>
      <t xml:space="preserve">0.027 </t>
    </r>
    <r>
      <rPr>
        <sz val="10"/>
        <rFont val="Calibri"/>
        <family val="2"/>
      </rPr>
      <t>Δ</t>
    </r>
    <r>
      <rPr>
        <sz val="7"/>
        <rFont val="Arial"/>
        <family val="2"/>
      </rPr>
      <t>P^0.65</t>
    </r>
  </si>
  <si>
    <t>Walls (semi-exposed)</t>
  </si>
  <si>
    <t>Permeability</t>
  </si>
  <si>
    <t>at 50 Pa</t>
  </si>
  <si>
    <t>Max single glazing</t>
  </si>
  <si>
    <t>Max % glazing</t>
  </si>
  <si>
    <t>Offices, shops</t>
  </si>
  <si>
    <t>Residential</t>
  </si>
  <si>
    <t>Max % glazing (Rooflights)</t>
  </si>
  <si>
    <t>Heating System Efficiency</t>
  </si>
  <si>
    <t>Seasonal</t>
  </si>
  <si>
    <t>COP Efficiency</t>
  </si>
  <si>
    <t>Specific Fan Power</t>
  </si>
  <si>
    <t>Continuous S/E</t>
  </si>
  <si>
    <t>Balanced</t>
  </si>
  <si>
    <t>Heat Recovery Efficiency</t>
  </si>
  <si>
    <t>Fan Coil Unit Power</t>
  </si>
  <si>
    <t>Ventilation</t>
  </si>
  <si>
    <t>Lighting</t>
  </si>
  <si>
    <t>Display</t>
  </si>
  <si>
    <t>Infiltration</t>
  </si>
  <si>
    <t>Wall 2010/13 U=0.35</t>
  </si>
  <si>
    <t>Glazing Part L 2010/13 U=2.2</t>
  </si>
  <si>
    <t>Glazing  U=1</t>
  </si>
  <si>
    <t>Glazing  U=1.6</t>
  </si>
  <si>
    <t>Roof BR 85/13 0.25</t>
  </si>
  <si>
    <t>Screed Board Knauf</t>
  </si>
  <si>
    <t>Supalux</t>
  </si>
  <si>
    <t>Wall: PB, Gap, 200 Concrete, 500 earth</t>
  </si>
  <si>
    <t>Roof: Plaster, Concrete, Patio Slab</t>
  </si>
  <si>
    <t>Roof: Plaster, Concrete, 100 Celotex, Patio Slab</t>
  </si>
  <si>
    <t>Ext. Doors</t>
  </si>
  <si>
    <t>Glazing</t>
  </si>
  <si>
    <t>← Percentage insulation coverage</t>
  </si>
  <si>
    <t>Foam (expanding)</t>
  </si>
  <si>
    <t>Wood Wool Slab</t>
  </si>
  <si>
    <t>ISBEM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</si>
</sst>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4" formatCode="#,###&quot; m2&quot;"/>
    <numFmt numFmtId="165" formatCode="#,###&quot; W&quot;"/>
    <numFmt numFmtId="166" formatCode="##&quot;% Glazing&quot;"/>
    <numFmt numFmtId="167" formatCode="0.0&quot; AC/hr&quot;"/>
    <numFmt numFmtId="168" formatCode="0.00&quot; m3/s&quot;"/>
    <numFmt numFmtId="169" formatCode="0&quot; C&quot;"/>
    <numFmt numFmtId="170" formatCode="0.##&quot; W/m2K&quot;"/>
    <numFmt numFmtId="171" formatCode="#,##0&quot; W&quot;"/>
    <numFmt numFmtId="172" formatCode="0.0#&quot; W/m2K&quot;"/>
    <numFmt numFmtId="173" formatCode="0.0#&quot; m&quot;"/>
    <numFmt numFmtId="174" formatCode="#,###&quot; Litres&quot;"/>
    <numFmt numFmtId="175" formatCode="0.0&quot; hrs&quot;"/>
    <numFmt numFmtId="176" formatCode="#,##0.0&quot; kW&quot;"/>
    <numFmt numFmtId="177" formatCode="0&quot; W/m3&quot;"/>
    <numFmt numFmtId="178" formatCode="0&quot; W/m2&quot;"/>
    <numFmt numFmtId="179" formatCode="#,###&quot; W/m2&quot;"/>
    <numFmt numFmtId="180" formatCode="#,##0&quot; kWhrs&quot;"/>
    <numFmt numFmtId="181" formatCode="0.00&quot; W/mK&quot;"/>
    <numFmt numFmtId="182" formatCode="#,##0&quot; kg/m3&quot;"/>
    <numFmt numFmtId="183" formatCode="#,##0&quot; J/kg K&quot;"/>
    <numFmt numFmtId="184" formatCode="0.000&quot; W/mK&quot;"/>
    <numFmt numFmtId="185" formatCode="0.0#&quot; m2K/W&quot;"/>
    <numFmt numFmtId="186" formatCode="#,###&quot; mm&quot;"/>
    <numFmt numFmtId="187" formatCode="0.#0&quot; W/mK&quot;"/>
    <numFmt numFmtId="188" formatCode="0.00&quot; W/m2K&quot;"/>
    <numFmt numFmtId="189" formatCode="0.###&quot; W/m2K&quot;"/>
    <numFmt numFmtId="190" formatCode="0.0##&quot; W/m2K&quot;"/>
    <numFmt numFmtId="191" formatCode="0.0##&quot; kJ/kg K&quot;"/>
    <numFmt numFmtId="192" formatCode="#,###&quot; kg/m3&quot;"/>
    <numFmt numFmtId="193" formatCode="0.0##&quot; m thick&quot;"/>
    <numFmt numFmtId="194" formatCode="#,##0&quot; m2&quot;"/>
    <numFmt numFmtId="195" formatCode="#,##0.0&quot; m&quot;"/>
    <numFmt numFmtId="196" formatCode="0.0#&quot; m2&quot;"/>
    <numFmt numFmtId="197" formatCode="&quot;£&quot;0.000&quot; /kWhr&quot;"/>
    <numFmt numFmtId="198" formatCode="&quot;£&quot;#,##0&quot; /yr&quot;"/>
    <numFmt numFmtId="199" formatCode="#,###.0&quot; m2&quot;"/>
    <numFmt numFmtId="200" formatCode="0&quot;C dT&quot;"/>
    <numFmt numFmtId="201" formatCode="0.0##&quot; m2K/W&quot;"/>
    <numFmt numFmtId="202" formatCode="0.0&quot; C&quot;"/>
    <numFmt numFmtId="203" formatCode="&quot;Per &quot;0&quot; m2&quot;"/>
    <numFmt numFmtId="204" formatCode="0&quot; m3/hr m2&quot;"/>
    <numFmt numFmtId="205" formatCode="0.0%"/>
    <numFmt numFmtId="206" formatCode="0.0&quot; W/ls-1&quot;"/>
    <numFmt numFmtId="207" formatCode="0.00&quot; W/m2.100lux&quot;"/>
    <numFmt numFmtId="208" formatCode="0&quot; lumens/W&quot;"/>
    <numFmt numFmtId="209" formatCode="0.###&quot; AC/Hr @50Pa&quot;"/>
  </numFmts>
  <fonts count="5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0"/>
      <color indexed="30"/>
      <name val="Arial"/>
      <family val="2"/>
    </font>
    <font>
      <sz val="10"/>
      <color indexed="3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9"/>
      <name val="Arial"/>
      <family val="2"/>
    </font>
    <font>
      <sz val="8"/>
      <color indexed="22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8"/>
      <color indexed="30"/>
      <name val="Arial"/>
      <family val="2"/>
    </font>
    <font>
      <b/>
      <sz val="12"/>
      <color indexed="10"/>
      <name val="Arial"/>
      <family val="2"/>
    </font>
    <font>
      <sz val="8"/>
      <color rgb="FFFF0000"/>
      <name val="Arial"/>
      <family val="2"/>
    </font>
    <font>
      <sz val="10"/>
      <color theme="0" tint="-0.499984740745262"/>
      <name val="Arial"/>
      <family val="2"/>
    </font>
    <font>
      <sz val="8"/>
      <color rgb="FF0000CC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"/>
      <color rgb="FF0000CC"/>
      <name val="Arial"/>
      <family val="2"/>
    </font>
    <font>
      <b/>
      <sz val="7"/>
      <name val="Arial"/>
      <family val="2"/>
    </font>
    <font>
      <sz val="7"/>
      <color rgb="FF0000FF"/>
      <name val="Arial"/>
      <family val="2"/>
    </font>
    <font>
      <sz val="8"/>
      <color indexed="81"/>
      <name val="Tahoma"/>
      <family val="2"/>
    </font>
    <font>
      <sz val="8"/>
      <color theme="0" tint="-0.249977111117893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color theme="1"/>
      <name val="Arial"/>
      <family val="2"/>
    </font>
    <font>
      <sz val="8"/>
      <color rgb="FF0000FF"/>
      <name val="Arial"/>
      <family val="2"/>
    </font>
    <font>
      <sz val="8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30"/>
      <name val="Arial"/>
      <family val="2"/>
    </font>
    <font>
      <sz val="8"/>
      <color theme="0" tint="-0.34998626667073579"/>
      <name val="Arial"/>
      <family val="2"/>
    </font>
    <font>
      <sz val="12"/>
      <color theme="0"/>
      <name val="Arial"/>
      <family val="2"/>
    </font>
    <font>
      <sz val="22"/>
      <color theme="0" tint="-0.249977111117893"/>
      <name val="Arial"/>
      <family val="2"/>
    </font>
    <font>
      <sz val="7"/>
      <color theme="0" tint="-0.249977111117893"/>
      <name val="Arial"/>
      <family val="2"/>
    </font>
    <font>
      <sz val="9"/>
      <color theme="9" tint="-0.249977111117893"/>
      <name val="Arial"/>
      <family val="2"/>
    </font>
    <font>
      <sz val="9"/>
      <color rgb="FF0000FF"/>
      <name val="Arial"/>
      <family val="2"/>
    </font>
    <font>
      <vertAlign val="superscript"/>
      <sz val="9"/>
      <name val="Arial"/>
      <family val="2"/>
    </font>
    <font>
      <sz val="10"/>
      <color theme="9" tint="-0.249977111117893"/>
      <name val="Arial"/>
      <family val="2"/>
    </font>
    <font>
      <sz val="8"/>
      <color rgb="FF000000"/>
      <name val="Tahoma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9"/>
      <color theme="6" tint="-0.499984740745262"/>
      <name val="Arial"/>
      <family val="2"/>
    </font>
    <font>
      <sz val="8"/>
      <color indexed="8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24"/>
      <name val="Arial"/>
      <family val="2"/>
    </font>
    <font>
      <sz val="10"/>
      <color theme="0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EAA7E6"/>
        <bgColor indexed="64"/>
      </patternFill>
    </fill>
    <fill>
      <patternFill patternType="solid">
        <fgColor rgb="FFFF8AD8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FD8FB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</borders>
  <cellStyleXfs count="32">
    <xf numFmtId="0" fontId="0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9" fontId="3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" fillId="0" borderId="0"/>
  </cellStyleXfs>
  <cellXfs count="51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left" vertical="center"/>
    </xf>
    <xf numFmtId="168" fontId="2" fillId="0" borderId="0" xfId="0" applyNumberFormat="1" applyFont="1" applyFill="1" applyBorder="1" applyAlignment="1">
      <alignment horizontal="left" vertical="center"/>
    </xf>
    <xf numFmtId="9" fontId="2" fillId="0" borderId="0" xfId="0" applyNumberFormat="1" applyFont="1" applyBorder="1" applyAlignment="1">
      <alignment horizontal="left" vertical="center"/>
    </xf>
    <xf numFmtId="165" fontId="8" fillId="0" borderId="3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9" fontId="10" fillId="0" borderId="0" xfId="0" applyNumberFormat="1" applyFont="1" applyBorder="1" applyAlignment="1">
      <alignment horizontal="left" vertical="center"/>
    </xf>
    <xf numFmtId="9" fontId="10" fillId="0" borderId="0" xfId="0" applyNumberFormat="1" applyFont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9" fontId="10" fillId="0" borderId="3" xfId="0" applyNumberFormat="1" applyFont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170" fontId="2" fillId="0" borderId="0" xfId="0" applyNumberFormat="1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9" fontId="10" fillId="0" borderId="1" xfId="0" applyNumberFormat="1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9" fontId="10" fillId="2" borderId="0" xfId="0" applyNumberFormat="1" applyFont="1" applyFill="1" applyBorder="1" applyAlignment="1">
      <alignment horizontal="center" vertical="center"/>
    </xf>
    <xf numFmtId="169" fontId="2" fillId="4" borderId="4" xfId="0" applyNumberFormat="1" applyFont="1" applyFill="1" applyBorder="1" applyAlignment="1">
      <alignment horizontal="center" vertical="center"/>
    </xf>
    <xf numFmtId="169" fontId="2" fillId="4" borderId="6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left" vertical="center"/>
    </xf>
    <xf numFmtId="165" fontId="8" fillId="3" borderId="16" xfId="0" applyNumberFormat="1" applyFont="1" applyFill="1" applyBorder="1" applyAlignment="1">
      <alignment horizontal="left" vertical="center"/>
    </xf>
    <xf numFmtId="0" fontId="8" fillId="3" borderId="15" xfId="0" applyFont="1" applyFill="1" applyBorder="1" applyAlignment="1">
      <alignment horizontal="right" vertical="center"/>
    </xf>
    <xf numFmtId="165" fontId="8" fillId="3" borderId="16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165" fontId="14" fillId="5" borderId="0" xfId="0" applyNumberFormat="1" applyFont="1" applyFill="1" applyBorder="1" applyAlignment="1">
      <alignment horizontal="center" vertical="center"/>
    </xf>
    <xf numFmtId="172" fontId="2" fillId="0" borderId="3" xfId="0" applyNumberFormat="1" applyFont="1" applyFill="1" applyBorder="1" applyAlignment="1">
      <alignment horizontal="left" vertical="center"/>
    </xf>
    <xf numFmtId="166" fontId="9" fillId="0" borderId="0" xfId="0" applyNumberFormat="1" applyFont="1" applyBorder="1" applyAlignment="1">
      <alignment horizontal="center" vertical="center"/>
    </xf>
    <xf numFmtId="173" fontId="2" fillId="0" borderId="0" xfId="0" applyNumberFormat="1" applyFont="1" applyAlignment="1">
      <alignment horizontal="center" vertical="center"/>
    </xf>
    <xf numFmtId="173" fontId="2" fillId="0" borderId="0" xfId="0" applyNumberFormat="1" applyFont="1" applyFill="1" applyBorder="1" applyAlignment="1">
      <alignment horizontal="center" vertical="center"/>
    </xf>
    <xf numFmtId="173" fontId="2" fillId="0" borderId="2" xfId="0" applyNumberFormat="1" applyFont="1" applyBorder="1" applyAlignment="1">
      <alignment horizontal="center" vertical="center"/>
    </xf>
    <xf numFmtId="173" fontId="2" fillId="0" borderId="0" xfId="0" applyNumberFormat="1" applyFont="1" applyBorder="1" applyAlignment="1">
      <alignment horizontal="center" vertical="center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173" fontId="2" fillId="6" borderId="0" xfId="0" applyNumberFormat="1" applyFont="1" applyFill="1" applyAlignment="1">
      <alignment horizontal="center" vertical="center"/>
    </xf>
    <xf numFmtId="173" fontId="2" fillId="0" borderId="0" xfId="0" applyNumberFormat="1" applyFont="1" applyBorder="1" applyAlignment="1">
      <alignment horizontal="left" vertical="center"/>
    </xf>
    <xf numFmtId="173" fontId="2" fillId="4" borderId="0" xfId="0" applyNumberFormat="1" applyFont="1" applyFill="1" applyBorder="1" applyAlignment="1">
      <alignment horizontal="center" vertical="center"/>
    </xf>
    <xf numFmtId="173" fontId="2" fillId="0" borderId="2" xfId="0" applyNumberFormat="1" applyFont="1" applyFill="1" applyBorder="1" applyAlignment="1">
      <alignment horizontal="center" vertical="center"/>
    </xf>
    <xf numFmtId="173" fontId="2" fillId="6" borderId="0" xfId="0" applyNumberFormat="1" applyFont="1" applyFill="1" applyBorder="1" applyAlignment="1">
      <alignment horizontal="center" vertical="center"/>
    </xf>
    <xf numFmtId="173" fontId="2" fillId="0" borderId="0" xfId="0" applyNumberFormat="1" applyFont="1" applyAlignment="1">
      <alignment vertical="center"/>
    </xf>
    <xf numFmtId="173" fontId="2" fillId="0" borderId="0" xfId="0" applyNumberFormat="1" applyFont="1" applyFill="1" applyBorder="1" applyAlignment="1">
      <alignment horizontal="left" vertical="center"/>
    </xf>
    <xf numFmtId="173" fontId="7" fillId="3" borderId="10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6" fillId="0" borderId="20" xfId="0" applyFont="1" applyBorder="1" applyAlignment="1">
      <alignment horizontal="right" vertical="center"/>
    </xf>
    <xf numFmtId="177" fontId="2" fillId="0" borderId="0" xfId="0" applyNumberFormat="1" applyFont="1" applyBorder="1" applyAlignment="1">
      <alignment horizontal="left" vertical="center"/>
    </xf>
    <xf numFmtId="178" fontId="2" fillId="0" borderId="0" xfId="0" applyNumberFormat="1" applyFont="1" applyBorder="1" applyAlignment="1">
      <alignment horizontal="left" vertical="center"/>
    </xf>
    <xf numFmtId="0" fontId="15" fillId="14" borderId="18" xfId="0" applyFont="1" applyFill="1" applyBorder="1" applyAlignment="1">
      <alignment horizontal="center" vertical="center"/>
    </xf>
    <xf numFmtId="181" fontId="15" fillId="14" borderId="0" xfId="0" applyNumberFormat="1" applyFont="1" applyFill="1" applyBorder="1" applyAlignment="1">
      <alignment horizontal="center" vertical="center"/>
    </xf>
    <xf numFmtId="181" fontId="15" fillId="14" borderId="22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/>
    </xf>
    <xf numFmtId="181" fontId="15" fillId="14" borderId="9" xfId="0" applyNumberFormat="1" applyFont="1" applyFill="1" applyBorder="1" applyAlignment="1">
      <alignment horizontal="center" vertical="center"/>
    </xf>
    <xf numFmtId="181" fontId="15" fillId="14" borderId="21" xfId="0" applyNumberFormat="1" applyFont="1" applyFill="1" applyBorder="1" applyAlignment="1">
      <alignment horizontal="center" vertical="center"/>
    </xf>
    <xf numFmtId="183" fontId="20" fillId="11" borderId="32" xfId="0" applyNumberFormat="1" applyFont="1" applyFill="1" applyBorder="1" applyAlignment="1">
      <alignment horizontal="center" vertical="center" wrapText="1"/>
    </xf>
    <xf numFmtId="183" fontId="20" fillId="14" borderId="32" xfId="0" applyNumberFormat="1" applyFont="1" applyFill="1" applyBorder="1" applyAlignment="1">
      <alignment horizontal="center" vertical="center" wrapText="1"/>
    </xf>
    <xf numFmtId="183" fontId="20" fillId="13" borderId="32" xfId="0" applyNumberFormat="1" applyFont="1" applyFill="1" applyBorder="1" applyAlignment="1">
      <alignment horizontal="center" vertical="center" wrapText="1"/>
    </xf>
    <xf numFmtId="183" fontId="20" fillId="7" borderId="32" xfId="0" applyNumberFormat="1" applyFont="1" applyFill="1" applyBorder="1" applyAlignment="1">
      <alignment horizontal="center" vertical="center" wrapText="1"/>
    </xf>
    <xf numFmtId="183" fontId="20" fillId="10" borderId="32" xfId="0" applyNumberFormat="1" applyFont="1" applyFill="1" applyBorder="1" applyAlignment="1">
      <alignment horizontal="center" vertical="center" wrapText="1"/>
    </xf>
    <xf numFmtId="183" fontId="20" fillId="8" borderId="32" xfId="0" applyNumberFormat="1" applyFont="1" applyFill="1" applyBorder="1" applyAlignment="1">
      <alignment horizontal="center" vertical="center" wrapText="1"/>
    </xf>
    <xf numFmtId="183" fontId="20" fillId="9" borderId="32" xfId="0" applyNumberFormat="1" applyFont="1" applyFill="1" applyBorder="1" applyAlignment="1">
      <alignment horizontal="center" vertical="center" wrapText="1"/>
    </xf>
    <xf numFmtId="183" fontId="20" fillId="15" borderId="32" xfId="0" applyNumberFormat="1" applyFont="1" applyFill="1" applyBorder="1" applyAlignment="1">
      <alignment horizontal="center" vertical="center" wrapText="1"/>
    </xf>
    <xf numFmtId="186" fontId="24" fillId="11" borderId="31" xfId="0" applyNumberFormat="1" applyFont="1" applyFill="1" applyBorder="1" applyAlignment="1">
      <alignment horizontal="center" vertical="center" wrapText="1"/>
    </xf>
    <xf numFmtId="186" fontId="24" fillId="14" borderId="31" xfId="0" applyNumberFormat="1" applyFont="1" applyFill="1" applyBorder="1" applyAlignment="1">
      <alignment horizontal="center" vertical="center" wrapText="1"/>
    </xf>
    <xf numFmtId="186" fontId="24" fillId="13" borderId="31" xfId="0" applyNumberFormat="1" applyFont="1" applyFill="1" applyBorder="1" applyAlignment="1">
      <alignment horizontal="center" vertical="center" wrapText="1"/>
    </xf>
    <xf numFmtId="186" fontId="24" fillId="7" borderId="31" xfId="0" applyNumberFormat="1" applyFont="1" applyFill="1" applyBorder="1" applyAlignment="1">
      <alignment horizontal="center" vertical="center" wrapText="1"/>
    </xf>
    <xf numFmtId="186" fontId="24" fillId="10" borderId="31" xfId="0" applyNumberFormat="1" applyFont="1" applyFill="1" applyBorder="1" applyAlignment="1">
      <alignment horizontal="center" vertical="center" wrapText="1"/>
    </xf>
    <xf numFmtId="186" fontId="24" fillId="8" borderId="31" xfId="0" applyNumberFormat="1" applyFont="1" applyFill="1" applyBorder="1" applyAlignment="1">
      <alignment horizontal="center" vertical="center" wrapText="1"/>
    </xf>
    <xf numFmtId="186" fontId="24" fillId="9" borderId="31" xfId="0" applyNumberFormat="1" applyFont="1" applyFill="1" applyBorder="1" applyAlignment="1">
      <alignment horizontal="center" vertical="center" wrapText="1"/>
    </xf>
    <xf numFmtId="186" fontId="24" fillId="15" borderId="31" xfId="0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" fillId="0" borderId="25" xfId="0" applyFont="1" applyFill="1" applyBorder="1" applyAlignment="1">
      <alignment horizontal="center" vertical="top" wrapText="1"/>
    </xf>
    <xf numFmtId="0" fontId="2" fillId="0" borderId="27" xfId="0" applyFont="1" applyFill="1" applyBorder="1" applyAlignment="1">
      <alignment horizontal="center" vertical="top" wrapText="1"/>
    </xf>
    <xf numFmtId="0" fontId="23" fillId="0" borderId="0" xfId="0" applyFont="1" applyFill="1" applyAlignment="1">
      <alignment horizontal="left" vertical="center"/>
    </xf>
    <xf numFmtId="189" fontId="2" fillId="0" borderId="2" xfId="0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horizontal="right" vertical="center"/>
    </xf>
    <xf numFmtId="0" fontId="2" fillId="0" borderId="0" xfId="0" applyFont="1"/>
    <xf numFmtId="0" fontId="23" fillId="0" borderId="37" xfId="0" applyFont="1" applyFill="1" applyBorder="1" applyAlignment="1">
      <alignment horizontal="center" vertical="center"/>
    </xf>
    <xf numFmtId="0" fontId="23" fillId="0" borderId="38" xfId="0" applyFont="1" applyFill="1" applyBorder="1" applyAlignment="1">
      <alignment horizontal="left" vertical="center"/>
    </xf>
    <xf numFmtId="0" fontId="23" fillId="0" borderId="36" xfId="0" applyFont="1" applyFill="1" applyBorder="1" applyAlignment="1">
      <alignment horizontal="left" vertical="center"/>
    </xf>
    <xf numFmtId="188" fontId="23" fillId="0" borderId="37" xfId="0" applyNumberFormat="1" applyFont="1" applyFill="1" applyBorder="1" applyAlignment="1">
      <alignment horizontal="center" vertical="center"/>
    </xf>
    <xf numFmtId="0" fontId="26" fillId="0" borderId="36" xfId="0" applyFont="1" applyFill="1" applyBorder="1" applyAlignment="1">
      <alignment horizontal="left" vertical="center"/>
    </xf>
    <xf numFmtId="188" fontId="26" fillId="0" borderId="37" xfId="0" applyNumberFormat="1" applyFont="1" applyFill="1" applyBorder="1" applyAlignment="1">
      <alignment horizontal="center" vertical="center"/>
    </xf>
    <xf numFmtId="0" fontId="26" fillId="0" borderId="38" xfId="0" applyFont="1" applyFill="1" applyBorder="1" applyAlignment="1">
      <alignment horizontal="left" vertical="center"/>
    </xf>
    <xf numFmtId="173" fontId="23" fillId="0" borderId="36" xfId="0" applyNumberFormat="1" applyFont="1" applyFill="1" applyBorder="1" applyAlignment="1">
      <alignment horizontal="left" vertical="center"/>
    </xf>
    <xf numFmtId="0" fontId="23" fillId="0" borderId="38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top" wrapText="1"/>
    </xf>
    <xf numFmtId="0" fontId="2" fillId="0" borderId="29" xfId="0" applyFont="1" applyFill="1" applyBorder="1" applyAlignment="1">
      <alignment horizontal="center" vertical="top" wrapText="1"/>
    </xf>
    <xf numFmtId="189" fontId="2" fillId="0" borderId="4" xfId="0" applyNumberFormat="1" applyFont="1" applyFill="1" applyBorder="1" applyAlignment="1">
      <alignment vertical="top"/>
    </xf>
    <xf numFmtId="189" fontId="11" fillId="0" borderId="6" xfId="0" applyNumberFormat="1" applyFont="1" applyFill="1" applyBorder="1" applyAlignment="1">
      <alignment horizontal="right" vertical="top"/>
    </xf>
    <xf numFmtId="0" fontId="2" fillId="0" borderId="33" xfId="0" applyFont="1" applyFill="1" applyBorder="1" applyAlignment="1">
      <alignment vertical="top"/>
    </xf>
    <xf numFmtId="189" fontId="2" fillId="0" borderId="33" xfId="0" applyNumberFormat="1" applyFont="1" applyFill="1" applyBorder="1" applyAlignment="1">
      <alignment vertical="top"/>
    </xf>
    <xf numFmtId="189" fontId="11" fillId="0" borderId="33" xfId="0" applyNumberFormat="1" applyFont="1" applyFill="1" applyBorder="1" applyAlignment="1">
      <alignment horizontal="right" vertical="top"/>
    </xf>
    <xf numFmtId="189" fontId="2" fillId="0" borderId="33" xfId="0" applyNumberFormat="1" applyFont="1" applyFill="1" applyBorder="1" applyAlignment="1">
      <alignment horizontal="center" vertical="top"/>
    </xf>
    <xf numFmtId="189" fontId="11" fillId="0" borderId="33" xfId="0" applyNumberFormat="1" applyFont="1" applyFill="1" applyBorder="1" applyAlignment="1">
      <alignment vertical="top"/>
    </xf>
    <xf numFmtId="190" fontId="2" fillId="0" borderId="33" xfId="0" applyNumberFormat="1" applyFont="1" applyFill="1" applyBorder="1" applyAlignment="1">
      <alignment vertical="top"/>
    </xf>
    <xf numFmtId="0" fontId="2" fillId="0" borderId="0" xfId="0" applyFont="1" applyFill="1"/>
    <xf numFmtId="191" fontId="15" fillId="0" borderId="0" xfId="0" applyNumberFormat="1" applyFont="1" applyFill="1" applyBorder="1" applyAlignment="1">
      <alignment horizontal="center" vertical="center"/>
    </xf>
    <xf numFmtId="192" fontId="15" fillId="0" borderId="0" xfId="0" applyNumberFormat="1" applyFont="1" applyFill="1" applyBorder="1" applyAlignment="1">
      <alignment horizontal="center" vertical="center"/>
    </xf>
    <xf numFmtId="0" fontId="2" fillId="0" borderId="37" xfId="0" applyFont="1" applyBorder="1"/>
    <xf numFmtId="0" fontId="2" fillId="0" borderId="38" xfId="0" applyFont="1" applyBorder="1"/>
    <xf numFmtId="0" fontId="2" fillId="0" borderId="36" xfId="0" applyFont="1" applyBorder="1"/>
    <xf numFmtId="0" fontId="25" fillId="0" borderId="10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left" vertical="center"/>
    </xf>
    <xf numFmtId="191" fontId="31" fillId="0" borderId="34" xfId="0" applyNumberFormat="1" applyFont="1" applyFill="1" applyBorder="1" applyAlignment="1">
      <alignment horizontal="center" vertical="center"/>
    </xf>
    <xf numFmtId="192" fontId="31" fillId="0" borderId="35" xfId="0" applyNumberFormat="1" applyFont="1" applyFill="1" applyBorder="1" applyAlignment="1">
      <alignment horizontal="center" vertical="center"/>
    </xf>
    <xf numFmtId="191" fontId="31" fillId="0" borderId="39" xfId="0" applyNumberFormat="1" applyFont="1" applyFill="1" applyBorder="1" applyAlignment="1">
      <alignment horizontal="center" vertical="center"/>
    </xf>
    <xf numFmtId="192" fontId="31" fillId="0" borderId="40" xfId="0" applyNumberFormat="1" applyFont="1" applyFill="1" applyBorder="1" applyAlignment="1">
      <alignment horizontal="center" vertical="center"/>
    </xf>
    <xf numFmtId="191" fontId="31" fillId="0" borderId="41" xfId="0" applyNumberFormat="1" applyFont="1" applyFill="1" applyBorder="1" applyAlignment="1">
      <alignment horizontal="center" vertical="center"/>
    </xf>
    <xf numFmtId="192" fontId="31" fillId="0" borderId="42" xfId="0" applyNumberFormat="1" applyFont="1" applyFill="1" applyBorder="1" applyAlignment="1">
      <alignment horizontal="center" vertical="center"/>
    </xf>
    <xf numFmtId="191" fontId="31" fillId="0" borderId="37" xfId="0" applyNumberFormat="1" applyFont="1" applyFill="1" applyBorder="1" applyAlignment="1">
      <alignment horizontal="center" vertical="center"/>
    </xf>
    <xf numFmtId="192" fontId="31" fillId="0" borderId="37" xfId="0" applyNumberFormat="1" applyFont="1" applyFill="1" applyBorder="1" applyAlignment="1">
      <alignment horizontal="center" vertical="center"/>
    </xf>
    <xf numFmtId="191" fontId="32" fillId="0" borderId="37" xfId="0" applyNumberFormat="1" applyFont="1" applyFill="1" applyBorder="1" applyAlignment="1">
      <alignment horizontal="center" vertical="center"/>
    </xf>
    <xf numFmtId="192" fontId="32" fillId="0" borderId="37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left" vertical="center"/>
    </xf>
    <xf numFmtId="172" fontId="2" fillId="0" borderId="2" xfId="0" applyNumberFormat="1" applyFont="1" applyFill="1" applyBorder="1" applyAlignment="1">
      <alignment horizontal="left" vertical="center"/>
    </xf>
    <xf numFmtId="9" fontId="10" fillId="0" borderId="6" xfId="0" applyNumberFormat="1" applyFont="1" applyBorder="1" applyAlignment="1">
      <alignment horizontal="left" vertical="center"/>
    </xf>
    <xf numFmtId="191" fontId="31" fillId="15" borderId="37" xfId="0" applyNumberFormat="1" applyFont="1" applyFill="1" applyBorder="1" applyAlignment="1">
      <alignment horizontal="center" vertical="center"/>
    </xf>
    <xf numFmtId="192" fontId="31" fillId="15" borderId="37" xfId="0" applyNumberFormat="1" applyFont="1" applyFill="1" applyBorder="1" applyAlignment="1">
      <alignment horizontal="center" vertical="center"/>
    </xf>
    <xf numFmtId="195" fontId="2" fillId="0" borderId="0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195" fontId="2" fillId="0" borderId="5" xfId="0" applyNumberFormat="1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top" wrapText="1"/>
    </xf>
    <xf numFmtId="0" fontId="23" fillId="14" borderId="0" xfId="0" applyFont="1" applyFill="1" applyAlignment="1">
      <alignment horizontal="left" vertical="center"/>
    </xf>
    <xf numFmtId="189" fontId="11" fillId="0" borderId="29" xfId="0" applyNumberFormat="1" applyFont="1" applyFill="1" applyBorder="1" applyAlignment="1">
      <alignment vertical="top"/>
    </xf>
    <xf numFmtId="189" fontId="2" fillId="0" borderId="29" xfId="0" applyNumberFormat="1" applyFont="1" applyFill="1" applyBorder="1" applyAlignment="1">
      <alignment vertical="top"/>
    </xf>
    <xf numFmtId="181" fontId="36" fillId="0" borderId="0" xfId="0" applyNumberFormat="1" applyFont="1" applyFill="1" applyAlignment="1">
      <alignment horizontal="left" vertical="center"/>
    </xf>
    <xf numFmtId="0" fontId="0" fillId="0" borderId="27" xfId="0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left" vertical="center"/>
    </xf>
    <xf numFmtId="0" fontId="7" fillId="3" borderId="10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81" fontId="23" fillId="14" borderId="9" xfId="0" applyNumberFormat="1" applyFont="1" applyFill="1" applyBorder="1" applyAlignment="1">
      <alignment horizontal="center" vertical="center" wrapText="1"/>
    </xf>
    <xf numFmtId="181" fontId="23" fillId="14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182" fontId="15" fillId="0" borderId="0" xfId="0" applyNumberFormat="1" applyFont="1" applyFill="1" applyAlignment="1">
      <alignment horizontal="center" vertical="center"/>
    </xf>
    <xf numFmtId="183" fontId="15" fillId="0" borderId="0" xfId="0" applyNumberFormat="1" applyFont="1" applyFill="1" applyAlignment="1">
      <alignment horizontal="center" vertical="center"/>
    </xf>
    <xf numFmtId="185" fontId="15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3" fillId="1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81" fontId="15" fillId="0" borderId="0" xfId="0" applyNumberFormat="1" applyFont="1" applyFill="1" applyAlignment="1">
      <alignment horizontal="center" vertical="center"/>
    </xf>
    <xf numFmtId="0" fontId="0" fillId="0" borderId="0" xfId="0" applyBorder="1" applyAlignment="1">
      <alignment vertical="center"/>
    </xf>
    <xf numFmtId="181" fontId="15" fillId="0" borderId="0" xfId="0" applyNumberFormat="1" applyFont="1" applyFill="1" applyBorder="1" applyAlignment="1">
      <alignment horizontal="center" vertical="center"/>
    </xf>
    <xf numFmtId="0" fontId="22" fillId="12" borderId="0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vertical="center" wrapText="1"/>
    </xf>
    <xf numFmtId="186" fontId="15" fillId="0" borderId="0" xfId="0" applyNumberFormat="1" applyFont="1" applyFill="1" applyBorder="1" applyAlignment="1">
      <alignment horizontal="center" vertical="center"/>
    </xf>
    <xf numFmtId="9" fontId="23" fillId="0" borderId="0" xfId="13" applyFont="1" applyFill="1" applyBorder="1" applyAlignment="1">
      <alignment horizontal="center" vertical="center"/>
    </xf>
    <xf numFmtId="187" fontId="15" fillId="11" borderId="30" xfId="0" applyNumberFormat="1" applyFont="1" applyFill="1" applyBorder="1" applyAlignment="1">
      <alignment horizontal="center" vertical="center"/>
    </xf>
    <xf numFmtId="187" fontId="15" fillId="14" borderId="30" xfId="0" applyNumberFormat="1" applyFont="1" applyFill="1" applyBorder="1" applyAlignment="1">
      <alignment horizontal="center" vertical="center"/>
    </xf>
    <xf numFmtId="187" fontId="15" fillId="13" borderId="30" xfId="0" applyNumberFormat="1" applyFont="1" applyFill="1" applyBorder="1" applyAlignment="1">
      <alignment horizontal="center" vertical="center"/>
    </xf>
    <xf numFmtId="187" fontId="15" fillId="7" borderId="30" xfId="0" applyNumberFormat="1" applyFont="1" applyFill="1" applyBorder="1" applyAlignment="1">
      <alignment horizontal="center" vertical="center"/>
    </xf>
    <xf numFmtId="187" fontId="15" fillId="10" borderId="30" xfId="0" applyNumberFormat="1" applyFont="1" applyFill="1" applyBorder="1" applyAlignment="1">
      <alignment horizontal="center" vertical="center"/>
    </xf>
    <xf numFmtId="187" fontId="15" fillId="8" borderId="30" xfId="0" applyNumberFormat="1" applyFont="1" applyFill="1" applyBorder="1" applyAlignment="1">
      <alignment horizontal="center" vertical="center"/>
    </xf>
    <xf numFmtId="187" fontId="15" fillId="9" borderId="30" xfId="0" applyNumberFormat="1" applyFont="1" applyFill="1" applyBorder="1" applyAlignment="1">
      <alignment horizontal="center" vertical="center"/>
    </xf>
    <xf numFmtId="187" fontId="15" fillId="15" borderId="30" xfId="0" applyNumberFormat="1" applyFont="1" applyFill="1" applyBorder="1" applyAlignment="1">
      <alignment horizontal="center" vertical="center"/>
    </xf>
    <xf numFmtId="181" fontId="23" fillId="12" borderId="0" xfId="0" applyNumberFormat="1" applyFont="1" applyFill="1" applyAlignment="1">
      <alignment horizontal="center" vertical="center"/>
    </xf>
    <xf numFmtId="181" fontId="23" fillId="0" borderId="22" xfId="0" applyNumberFormat="1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vertical="center" wrapText="1"/>
    </xf>
    <xf numFmtId="186" fontId="15" fillId="0" borderId="20" xfId="0" applyNumberFormat="1" applyFont="1" applyFill="1" applyBorder="1" applyAlignment="1">
      <alignment horizontal="center" vertical="center"/>
    </xf>
    <xf numFmtId="9" fontId="23" fillId="0" borderId="20" xfId="13" applyFont="1" applyFill="1" applyBorder="1" applyAlignment="1">
      <alignment horizontal="center" vertical="center"/>
    </xf>
    <xf numFmtId="187" fontId="15" fillId="11" borderId="31" xfId="0" applyNumberFormat="1" applyFont="1" applyFill="1" applyBorder="1" applyAlignment="1">
      <alignment horizontal="center" vertical="center"/>
    </xf>
    <xf numFmtId="187" fontId="15" fillId="14" borderId="31" xfId="0" applyNumberFormat="1" applyFont="1" applyFill="1" applyBorder="1" applyAlignment="1">
      <alignment horizontal="center" vertical="center"/>
    </xf>
    <xf numFmtId="187" fontId="15" fillId="13" borderId="31" xfId="0" applyNumberFormat="1" applyFont="1" applyFill="1" applyBorder="1" applyAlignment="1">
      <alignment horizontal="center" vertical="center"/>
    </xf>
    <xf numFmtId="187" fontId="15" fillId="7" borderId="31" xfId="0" applyNumberFormat="1" applyFont="1" applyFill="1" applyBorder="1" applyAlignment="1">
      <alignment horizontal="center" vertical="center"/>
    </xf>
    <xf numFmtId="187" fontId="15" fillId="10" borderId="31" xfId="0" applyNumberFormat="1" applyFont="1" applyFill="1" applyBorder="1" applyAlignment="1">
      <alignment horizontal="center" vertical="center"/>
    </xf>
    <xf numFmtId="187" fontId="15" fillId="8" borderId="31" xfId="0" applyNumberFormat="1" applyFont="1" applyFill="1" applyBorder="1" applyAlignment="1">
      <alignment horizontal="center" vertical="center"/>
    </xf>
    <xf numFmtId="187" fontId="15" fillId="9" borderId="31" xfId="0" applyNumberFormat="1" applyFont="1" applyFill="1" applyBorder="1" applyAlignment="1">
      <alignment horizontal="center" vertical="center"/>
    </xf>
    <xf numFmtId="187" fontId="15" fillId="15" borderId="31" xfId="0" applyNumberFormat="1" applyFont="1" applyFill="1" applyBorder="1" applyAlignment="1">
      <alignment horizontal="center" vertical="center"/>
    </xf>
    <xf numFmtId="183" fontId="15" fillId="0" borderId="0" xfId="0" applyNumberFormat="1" applyFont="1" applyFill="1" applyAlignment="1">
      <alignment horizontal="left" vertical="center"/>
    </xf>
    <xf numFmtId="185" fontId="21" fillId="0" borderId="0" xfId="0" applyNumberFormat="1" applyFont="1" applyFill="1" applyAlignment="1">
      <alignment horizontal="right" vertical="center"/>
    </xf>
    <xf numFmtId="0" fontId="35" fillId="0" borderId="0" xfId="0" applyFont="1" applyAlignment="1">
      <alignment vertical="center" wrapText="1"/>
    </xf>
    <xf numFmtId="0" fontId="35" fillId="0" borderId="0" xfId="0" applyFont="1" applyFill="1" applyAlignment="1">
      <alignment vertical="center" wrapText="1"/>
    </xf>
    <xf numFmtId="181" fontId="35" fillId="0" borderId="0" xfId="0" applyNumberFormat="1" applyFont="1" applyFill="1" applyAlignment="1">
      <alignment horizontal="center" vertical="center" wrapText="1"/>
    </xf>
    <xf numFmtId="182" fontId="35" fillId="0" borderId="0" xfId="0" applyNumberFormat="1" applyFont="1" applyFill="1" applyAlignment="1">
      <alignment horizontal="center" vertical="center" wrapText="1"/>
    </xf>
    <xf numFmtId="0" fontId="35" fillId="12" borderId="0" xfId="0" applyFont="1" applyFill="1" applyAlignment="1">
      <alignment vertical="center" wrapText="1"/>
    </xf>
    <xf numFmtId="0" fontId="15" fillId="11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right" vertical="center"/>
    </xf>
    <xf numFmtId="185" fontId="15" fillId="0" borderId="0" xfId="0" applyNumberFormat="1" applyFont="1" applyFill="1" applyAlignment="1">
      <alignment horizontal="right" vertical="center"/>
    </xf>
    <xf numFmtId="181" fontId="23" fillId="0" borderId="23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0" fontId="11" fillId="0" borderId="1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164" fontId="39" fillId="0" borderId="0" xfId="0" applyNumberFormat="1" applyFont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199" fontId="2" fillId="0" borderId="0" xfId="0" applyNumberFormat="1" applyFont="1" applyBorder="1" applyAlignment="1">
      <alignment horizontal="left" vertical="center"/>
    </xf>
    <xf numFmtId="173" fontId="2" fillId="3" borderId="10" xfId="0" applyNumberFormat="1" applyFont="1" applyFill="1" applyBorder="1" applyAlignment="1">
      <alignment horizontal="center" vertical="center"/>
    </xf>
    <xf numFmtId="199" fontId="2" fillId="0" borderId="2" xfId="0" applyNumberFormat="1" applyFont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171" fontId="15" fillId="2" borderId="0" xfId="0" applyNumberFormat="1" applyFont="1" applyFill="1" applyBorder="1" applyAlignment="1">
      <alignment horizontal="center" vertical="center"/>
    </xf>
    <xf numFmtId="171" fontId="16" fillId="2" borderId="0" xfId="0" applyNumberFormat="1" applyFont="1" applyFill="1" applyBorder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6" borderId="0" xfId="0" applyFont="1" applyFill="1" applyBorder="1" applyAlignment="1">
      <alignment horizontal="right" vertical="center"/>
    </xf>
    <xf numFmtId="169" fontId="2" fillId="16" borderId="0" xfId="0" applyNumberFormat="1" applyFont="1" applyFill="1" applyBorder="1" applyAlignment="1">
      <alignment horizontal="left" vertical="center"/>
    </xf>
    <xf numFmtId="9" fontId="2" fillId="16" borderId="0" xfId="0" applyNumberFormat="1" applyFont="1" applyFill="1" applyBorder="1" applyAlignment="1">
      <alignment horizontal="left" vertical="center"/>
    </xf>
    <xf numFmtId="0" fontId="2" fillId="16" borderId="0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174" fontId="2" fillId="0" borderId="25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175" fontId="2" fillId="0" borderId="3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right" vertical="center"/>
    </xf>
    <xf numFmtId="176" fontId="13" fillId="0" borderId="6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center" vertical="center"/>
    </xf>
    <xf numFmtId="0" fontId="2" fillId="11" borderId="0" xfId="0" applyFont="1" applyFill="1" applyAlignment="1">
      <alignment horizontal="left" vertical="center"/>
    </xf>
    <xf numFmtId="165" fontId="2" fillId="11" borderId="0" xfId="0" applyNumberFormat="1" applyFont="1" applyFill="1" applyAlignment="1">
      <alignment horizontal="center" vertical="center"/>
    </xf>
    <xf numFmtId="186" fontId="15" fillId="0" borderId="0" xfId="0" applyNumberFormat="1" applyFont="1" applyFill="1" applyAlignment="1">
      <alignment horizontal="center" vertical="center"/>
    </xf>
    <xf numFmtId="183" fontId="20" fillId="18" borderId="32" xfId="0" applyNumberFormat="1" applyFont="1" applyFill="1" applyBorder="1" applyAlignment="1">
      <alignment horizontal="center" vertical="center" wrapText="1"/>
    </xf>
    <xf numFmtId="186" fontId="24" fillId="18" borderId="31" xfId="0" applyNumberFormat="1" applyFont="1" applyFill="1" applyBorder="1" applyAlignment="1">
      <alignment horizontal="center" vertical="center" wrapText="1"/>
    </xf>
    <xf numFmtId="187" fontId="15" fillId="18" borderId="30" xfId="0" applyNumberFormat="1" applyFont="1" applyFill="1" applyBorder="1" applyAlignment="1">
      <alignment horizontal="center" vertical="center"/>
    </xf>
    <xf numFmtId="187" fontId="15" fillId="18" borderId="31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184" fontId="15" fillId="12" borderId="27" xfId="0" applyNumberFormat="1" applyFont="1" applyFill="1" applyBorder="1" applyAlignment="1">
      <alignment horizontal="center" vertical="center" wrapText="1"/>
    </xf>
    <xf numFmtId="184" fontId="15" fillId="12" borderId="28" xfId="0" applyNumberFormat="1" applyFont="1" applyFill="1" applyBorder="1" applyAlignment="1">
      <alignment horizontal="center" vertical="center" wrapText="1"/>
    </xf>
    <xf numFmtId="184" fontId="15" fillId="12" borderId="28" xfId="0" applyNumberFormat="1" applyFont="1" applyFill="1" applyBorder="1" applyAlignment="1">
      <alignment horizontal="center" vertical="center"/>
    </xf>
    <xf numFmtId="184" fontId="15" fillId="12" borderId="29" xfId="0" applyNumberFormat="1" applyFont="1" applyFill="1" applyBorder="1" applyAlignment="1">
      <alignment horizontal="center" vertical="center"/>
    </xf>
    <xf numFmtId="184" fontId="22" fillId="12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181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1" fillId="13" borderId="33" xfId="0" applyFont="1" applyFill="1" applyBorder="1" applyAlignment="1">
      <alignment vertical="top" wrapText="1"/>
    </xf>
    <xf numFmtId="183" fontId="11" fillId="13" borderId="33" xfId="0" applyNumberFormat="1" applyFont="1" applyFill="1" applyBorder="1" applyAlignment="1">
      <alignment horizontal="center" vertical="top" wrapText="1"/>
    </xf>
    <xf numFmtId="0" fontId="43" fillId="0" borderId="0" xfId="0" applyFont="1" applyFill="1" applyAlignment="1">
      <alignment horizontal="left" vertical="top" wrapText="1"/>
    </xf>
    <xf numFmtId="0" fontId="44" fillId="0" borderId="33" xfId="0" applyFont="1" applyFill="1" applyBorder="1" applyAlignment="1">
      <alignment horizontal="left" vertical="top" wrapText="1"/>
    </xf>
    <xf numFmtId="185" fontId="44" fillId="0" borderId="33" xfId="0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1" fillId="0" borderId="33" xfId="0" applyFont="1" applyFill="1" applyBorder="1" applyAlignment="1">
      <alignment vertical="top" wrapText="1"/>
    </xf>
    <xf numFmtId="183" fontId="11" fillId="0" borderId="33" xfId="0" applyNumberFormat="1" applyFont="1" applyFill="1" applyBorder="1" applyAlignment="1">
      <alignment horizontal="center" vertical="top"/>
    </xf>
    <xf numFmtId="0" fontId="11" fillId="0" borderId="0" xfId="0" applyFont="1" applyFill="1" applyAlignment="1">
      <alignment vertical="top" wrapText="1"/>
    </xf>
    <xf numFmtId="0" fontId="44" fillId="0" borderId="33" xfId="0" applyFont="1" applyFill="1" applyBorder="1" applyAlignment="1">
      <alignment horizontal="left" vertical="top"/>
    </xf>
    <xf numFmtId="185" fontId="44" fillId="0" borderId="33" xfId="0" applyNumberFormat="1" applyFont="1" applyFill="1" applyBorder="1" applyAlignment="1">
      <alignment horizontal="center" vertical="top"/>
    </xf>
    <xf numFmtId="0" fontId="11" fillId="0" borderId="0" xfId="0" applyFont="1" applyAlignment="1">
      <alignment vertical="top"/>
    </xf>
    <xf numFmtId="183" fontId="44" fillId="0" borderId="33" xfId="0" applyNumberFormat="1" applyFont="1" applyFill="1" applyBorder="1" applyAlignment="1">
      <alignment horizontal="center" vertical="top"/>
    </xf>
    <xf numFmtId="0" fontId="11" fillId="0" borderId="33" xfId="0" applyFont="1" applyFill="1" applyBorder="1"/>
    <xf numFmtId="183" fontId="11" fillId="0" borderId="33" xfId="0" applyNumberFormat="1" applyFont="1" applyFill="1" applyBorder="1" applyAlignment="1">
      <alignment horizontal="center"/>
    </xf>
    <xf numFmtId="0" fontId="44" fillId="0" borderId="0" xfId="0" applyFont="1" applyFill="1" applyAlignment="1">
      <alignment horizontal="center" vertical="top" wrapText="1"/>
    </xf>
    <xf numFmtId="0" fontId="44" fillId="0" borderId="0" xfId="0" applyFont="1" applyFill="1" applyAlignment="1">
      <alignment vertical="top"/>
    </xf>
    <xf numFmtId="0" fontId="11" fillId="0" borderId="33" xfId="0" applyFont="1" applyFill="1" applyBorder="1" applyAlignment="1">
      <alignment vertical="top"/>
    </xf>
    <xf numFmtId="0" fontId="44" fillId="0" borderId="0" xfId="0" applyFont="1" applyFill="1" applyAlignment="1">
      <alignment horizontal="center" vertical="top"/>
    </xf>
    <xf numFmtId="0" fontId="44" fillId="0" borderId="0" xfId="0" applyFont="1" applyFill="1" applyAlignment="1">
      <alignment horizontal="left" vertical="top"/>
    </xf>
    <xf numFmtId="185" fontId="44" fillId="0" borderId="0" xfId="0" applyNumberFormat="1" applyFont="1" applyFill="1" applyAlignment="1">
      <alignment horizontal="center" vertical="top"/>
    </xf>
    <xf numFmtId="0" fontId="44" fillId="0" borderId="0" xfId="0" applyFont="1" applyAlignment="1">
      <alignment vertical="top"/>
    </xf>
    <xf numFmtId="0" fontId="11" fillId="0" borderId="0" xfId="0" applyFont="1" applyFill="1" applyAlignment="1">
      <alignment vertical="top"/>
    </xf>
    <xf numFmtId="183" fontId="11" fillId="0" borderId="0" xfId="0" applyNumberFormat="1" applyFont="1" applyFill="1" applyAlignment="1">
      <alignment horizontal="center" vertical="top"/>
    </xf>
    <xf numFmtId="201" fontId="23" fillId="12" borderId="0" xfId="0" applyNumberFormat="1" applyFont="1" applyFill="1" applyAlignment="1">
      <alignment vertical="center"/>
    </xf>
    <xf numFmtId="201" fontId="23" fillId="12" borderId="0" xfId="0" applyNumberFormat="1" applyFont="1" applyFill="1" applyAlignment="1">
      <alignment horizontal="center" vertical="center"/>
    </xf>
    <xf numFmtId="201" fontId="22" fillId="12" borderId="0" xfId="0" applyNumberFormat="1" applyFont="1" applyFill="1" applyBorder="1" applyAlignment="1">
      <alignment horizontal="center" vertical="center"/>
    </xf>
    <xf numFmtId="201" fontId="35" fillId="12" borderId="0" xfId="0" applyNumberFormat="1" applyFont="1" applyFill="1" applyAlignment="1">
      <alignment vertical="center" wrapText="1"/>
    </xf>
    <xf numFmtId="0" fontId="11" fillId="0" borderId="33" xfId="0" applyFont="1" applyBorder="1"/>
    <xf numFmtId="0" fontId="11" fillId="14" borderId="33" xfId="0" applyFont="1" applyFill="1" applyBorder="1" applyAlignment="1">
      <alignment vertical="top"/>
    </xf>
    <xf numFmtId="0" fontId="11" fillId="0" borderId="0" xfId="0" applyFont="1" applyAlignment="1">
      <alignment horizontal="right" vertical="top" wrapText="1"/>
    </xf>
    <xf numFmtId="0" fontId="11" fillId="0" borderId="0" xfId="0" applyFont="1" applyAlignment="1">
      <alignment horizontal="right" vertical="top"/>
    </xf>
    <xf numFmtId="0" fontId="46" fillId="0" borderId="0" xfId="0" applyFont="1"/>
    <xf numFmtId="0" fontId="46" fillId="0" borderId="0" xfId="0" applyFont="1" applyAlignment="1">
      <alignment horizontal="right"/>
    </xf>
    <xf numFmtId="0" fontId="43" fillId="0" borderId="0" xfId="0" applyFont="1" applyAlignment="1">
      <alignment vertical="top"/>
    </xf>
    <xf numFmtId="17" fontId="46" fillId="0" borderId="0" xfId="0" applyNumberFormat="1" applyFont="1" applyAlignment="1">
      <alignment horizontal="right"/>
    </xf>
    <xf numFmtId="0" fontId="46" fillId="0" borderId="33" xfId="0" applyFont="1" applyBorder="1"/>
    <xf numFmtId="202" fontId="18" fillId="19" borderId="0" xfId="0" applyNumberFormat="1" applyFont="1" applyFill="1" applyAlignment="1">
      <alignment horizontal="center" vertical="center" wrapText="1"/>
    </xf>
    <xf numFmtId="202" fontId="18" fillId="0" borderId="0" xfId="0" applyNumberFormat="1" applyFont="1" applyFill="1" applyAlignment="1">
      <alignment horizontal="right" vertical="center" wrapText="1"/>
    </xf>
    <xf numFmtId="198" fontId="0" fillId="7" borderId="0" xfId="0" applyNumberFormat="1" applyFill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87" fontId="11" fillId="13" borderId="33" xfId="0" applyNumberFormat="1" applyFont="1" applyFill="1" applyBorder="1" applyAlignment="1">
      <alignment horizontal="center" vertical="top" wrapText="1"/>
    </xf>
    <xf numFmtId="187" fontId="11" fillId="0" borderId="33" xfId="0" applyNumberFormat="1" applyFont="1" applyFill="1" applyBorder="1" applyAlignment="1">
      <alignment horizontal="center" vertical="top"/>
    </xf>
    <xf numFmtId="187" fontId="11" fillId="0" borderId="0" xfId="0" applyNumberFormat="1" applyFont="1" applyFill="1" applyAlignment="1">
      <alignment horizontal="center" vertical="top"/>
    </xf>
    <xf numFmtId="192" fontId="11" fillId="13" borderId="33" xfId="0" applyNumberFormat="1" applyFont="1" applyFill="1" applyBorder="1" applyAlignment="1">
      <alignment horizontal="center" vertical="top" wrapText="1"/>
    </xf>
    <xf numFmtId="192" fontId="11" fillId="0" borderId="33" xfId="0" applyNumberFormat="1" applyFont="1" applyFill="1" applyBorder="1" applyAlignment="1">
      <alignment horizontal="center" vertical="top"/>
    </xf>
    <xf numFmtId="192" fontId="11" fillId="0" borderId="0" xfId="0" applyNumberFormat="1" applyFont="1" applyFill="1" applyAlignment="1">
      <alignment horizontal="center" vertical="top"/>
    </xf>
    <xf numFmtId="183" fontId="11" fillId="0" borderId="33" xfId="0" applyNumberFormat="1" applyFont="1" applyFill="1" applyBorder="1" applyAlignment="1">
      <alignment vertical="top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73" fontId="2" fillId="8" borderId="7" xfId="0" applyNumberFormat="1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173" fontId="2" fillId="8" borderId="5" xfId="0" applyNumberFormat="1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right" vertical="center"/>
    </xf>
    <xf numFmtId="176" fontId="13" fillId="8" borderId="5" xfId="0" applyNumberFormat="1" applyFont="1" applyFill="1" applyBorder="1" applyAlignment="1">
      <alignment horizontal="left" vertical="center"/>
    </xf>
    <xf numFmtId="0" fontId="2" fillId="8" borderId="5" xfId="0" applyFont="1" applyFill="1" applyBorder="1" applyAlignment="1">
      <alignment horizontal="left" vertical="center"/>
    </xf>
    <xf numFmtId="173" fontId="2" fillId="8" borderId="25" xfId="0" applyNumberFormat="1" applyFont="1" applyFill="1" applyBorder="1" applyAlignment="1">
      <alignment horizontal="center" vertical="center"/>
    </xf>
    <xf numFmtId="173" fontId="2" fillId="8" borderId="1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173" fontId="2" fillId="8" borderId="0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right" vertical="center"/>
    </xf>
    <xf numFmtId="176" fontId="13" fillId="8" borderId="0" xfId="0" applyNumberFormat="1" applyFont="1" applyFill="1" applyBorder="1" applyAlignment="1">
      <alignment horizontal="left" vertical="center"/>
    </xf>
    <xf numFmtId="0" fontId="2" fillId="8" borderId="0" xfId="0" applyFont="1" applyFill="1" applyBorder="1" applyAlignment="1">
      <alignment horizontal="left" vertical="center"/>
    </xf>
    <xf numFmtId="173" fontId="2" fillId="8" borderId="3" xfId="0" applyNumberFormat="1" applyFont="1" applyFill="1" applyBorder="1" applyAlignment="1">
      <alignment horizontal="center" vertical="center"/>
    </xf>
    <xf numFmtId="0" fontId="17" fillId="8" borderId="0" xfId="0" applyFont="1" applyFill="1" applyBorder="1" applyAlignment="1">
      <alignment horizontal="right" vertical="center"/>
    </xf>
    <xf numFmtId="176" fontId="17" fillId="8" borderId="0" xfId="0" applyNumberFormat="1" applyFont="1" applyFill="1" applyBorder="1" applyAlignment="1">
      <alignment horizontal="left" vertical="center"/>
    </xf>
    <xf numFmtId="179" fontId="18" fillId="8" borderId="0" xfId="0" applyNumberFormat="1" applyFont="1" applyFill="1" applyBorder="1" applyAlignment="1">
      <alignment horizontal="left" vertical="center"/>
    </xf>
    <xf numFmtId="0" fontId="19" fillId="8" borderId="0" xfId="0" applyFont="1" applyFill="1" applyBorder="1" applyAlignment="1">
      <alignment horizontal="right" vertical="center"/>
    </xf>
    <xf numFmtId="180" fontId="19" fillId="8" borderId="0" xfId="0" applyNumberFormat="1" applyFont="1" applyFill="1" applyBorder="1" applyAlignment="1">
      <alignment horizontal="left" vertical="center"/>
    </xf>
    <xf numFmtId="173" fontId="2" fillId="8" borderId="4" xfId="0" applyNumberFormat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173" fontId="2" fillId="8" borderId="2" xfId="0" applyNumberFormat="1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right" vertical="center"/>
    </xf>
    <xf numFmtId="164" fontId="19" fillId="8" borderId="2" xfId="0" applyNumberFormat="1" applyFont="1" applyFill="1" applyBorder="1" applyAlignment="1">
      <alignment horizontal="left" vertical="center"/>
    </xf>
    <xf numFmtId="173" fontId="2" fillId="8" borderId="6" xfId="0" applyNumberFormat="1" applyFont="1" applyFill="1" applyBorder="1" applyAlignment="1">
      <alignment horizontal="center" vertical="center"/>
    </xf>
    <xf numFmtId="181" fontId="15" fillId="0" borderId="0" xfId="0" applyNumberFormat="1" applyFont="1" applyFill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181" fontId="15" fillId="0" borderId="0" xfId="0" applyNumberFormat="1" applyFont="1" applyFill="1" applyBorder="1" applyAlignment="1">
      <alignment horizontal="right" vertical="center"/>
    </xf>
    <xf numFmtId="0" fontId="1" fillId="0" borderId="0" xfId="31" applyFont="1" applyAlignment="1">
      <alignment vertical="top"/>
    </xf>
    <xf numFmtId="0" fontId="2" fillId="0" borderId="0" xfId="31" applyAlignment="1">
      <alignment vertical="top"/>
    </xf>
    <xf numFmtId="189" fontId="2" fillId="0" borderId="0" xfId="31" applyNumberFormat="1" applyAlignment="1">
      <alignment vertical="top"/>
    </xf>
    <xf numFmtId="189" fontId="50" fillId="0" borderId="0" xfId="31" applyNumberFormat="1" applyFont="1" applyAlignment="1">
      <alignment horizontal="right" vertical="top"/>
    </xf>
    <xf numFmtId="189" fontId="2" fillId="0" borderId="0" xfId="31" applyNumberFormat="1" applyAlignment="1">
      <alignment horizontal="center" vertical="top"/>
    </xf>
    <xf numFmtId="189" fontId="50" fillId="0" borderId="0" xfId="31" applyNumberFormat="1" applyFont="1" applyAlignment="1">
      <alignment vertical="top"/>
    </xf>
    <xf numFmtId="189" fontId="2" fillId="0" borderId="0" xfId="31" applyNumberFormat="1" applyFont="1" applyAlignment="1">
      <alignment horizontal="center" vertical="top"/>
    </xf>
    <xf numFmtId="189" fontId="50" fillId="0" borderId="0" xfId="31" applyNumberFormat="1" applyFont="1" applyAlignment="1">
      <alignment horizontal="center" vertical="top"/>
    </xf>
    <xf numFmtId="0" fontId="2" fillId="13" borderId="7" xfId="31" applyFont="1" applyFill="1" applyBorder="1" applyAlignment="1">
      <alignment vertical="top" wrapText="1"/>
    </xf>
    <xf numFmtId="0" fontId="2" fillId="0" borderId="0" xfId="31" applyAlignment="1">
      <alignment horizontal="center" vertical="top" wrapText="1"/>
    </xf>
    <xf numFmtId="189" fontId="2" fillId="13" borderId="4" xfId="31" applyNumberFormat="1" applyFill="1" applyBorder="1" applyAlignment="1">
      <alignment vertical="top"/>
    </xf>
    <xf numFmtId="189" fontId="50" fillId="13" borderId="6" xfId="31" applyNumberFormat="1" applyFont="1" applyFill="1" applyBorder="1" applyAlignment="1">
      <alignment horizontal="right" vertical="top"/>
    </xf>
    <xf numFmtId="189" fontId="2" fillId="13" borderId="2" xfId="31" applyNumberFormat="1" applyFont="1" applyFill="1" applyBorder="1" applyAlignment="1">
      <alignment horizontal="center" vertical="top"/>
    </xf>
    <xf numFmtId="189" fontId="50" fillId="13" borderId="6" xfId="31" applyNumberFormat="1" applyFont="1" applyFill="1" applyBorder="1" applyAlignment="1">
      <alignment vertical="top"/>
    </xf>
    <xf numFmtId="0" fontId="2" fillId="0" borderId="33" xfId="31" applyBorder="1" applyAlignment="1">
      <alignment vertical="top"/>
    </xf>
    <xf numFmtId="189" fontId="2" fillId="0" borderId="33" xfId="31" applyNumberFormat="1" applyBorder="1" applyAlignment="1">
      <alignment vertical="top"/>
    </xf>
    <xf numFmtId="189" fontId="2" fillId="0" borderId="33" xfId="31" applyNumberFormat="1" applyFill="1" applyBorder="1" applyAlignment="1">
      <alignment vertical="top"/>
    </xf>
    <xf numFmtId="189" fontId="50" fillId="0" borderId="33" xfId="31" applyNumberFormat="1" applyFont="1" applyFill="1" applyBorder="1" applyAlignment="1">
      <alignment horizontal="right" vertical="top"/>
    </xf>
    <xf numFmtId="189" fontId="2" fillId="0" borderId="33" xfId="31" applyNumberFormat="1" applyBorder="1" applyAlignment="1">
      <alignment horizontal="center" vertical="top"/>
    </xf>
    <xf numFmtId="189" fontId="50" fillId="0" borderId="33" xfId="31" applyNumberFormat="1" applyFont="1" applyBorder="1" applyAlignment="1">
      <alignment vertical="top"/>
    </xf>
    <xf numFmtId="190" fontId="2" fillId="0" borderId="33" xfId="31" applyNumberFormat="1" applyBorder="1" applyAlignment="1">
      <alignment vertical="top"/>
    </xf>
    <xf numFmtId="189" fontId="50" fillId="0" borderId="33" xfId="31" applyNumberFormat="1" applyFont="1" applyBorder="1" applyAlignment="1">
      <alignment horizontal="right" vertical="top"/>
    </xf>
    <xf numFmtId="189" fontId="2" fillId="0" borderId="33" xfId="31" applyNumberFormat="1" applyFill="1" applyBorder="1" applyAlignment="1">
      <alignment horizontal="center" vertical="top"/>
    </xf>
    <xf numFmtId="189" fontId="50" fillId="0" borderId="33" xfId="31" applyNumberFormat="1" applyFont="1" applyFill="1" applyBorder="1" applyAlignment="1">
      <alignment vertical="top"/>
    </xf>
    <xf numFmtId="0" fontId="2" fillId="0" borderId="33" xfId="31" applyFont="1" applyBorder="1" applyAlignment="1">
      <alignment vertical="top"/>
    </xf>
    <xf numFmtId="189" fontId="2" fillId="0" borderId="33" xfId="31" applyNumberFormat="1" applyFont="1" applyBorder="1" applyAlignment="1">
      <alignment horizontal="center" vertical="top"/>
    </xf>
    <xf numFmtId="204" fontId="2" fillId="0" borderId="33" xfId="31" applyNumberFormat="1" applyBorder="1" applyAlignment="1">
      <alignment vertical="top"/>
    </xf>
    <xf numFmtId="204" fontId="50" fillId="0" borderId="33" xfId="31" applyNumberFormat="1" applyFont="1" applyBorder="1" applyAlignment="1">
      <alignment horizontal="right" vertical="top"/>
    </xf>
    <xf numFmtId="204" fontId="50" fillId="0" borderId="33" xfId="31" applyNumberFormat="1" applyFont="1" applyBorder="1" applyAlignment="1">
      <alignment vertical="top"/>
    </xf>
    <xf numFmtId="204" fontId="2" fillId="0" borderId="0" xfId="31" applyNumberFormat="1" applyBorder="1" applyAlignment="1">
      <alignment vertical="top"/>
    </xf>
    <xf numFmtId="9" fontId="2" fillId="0" borderId="33" xfId="31" applyNumberFormat="1" applyBorder="1" applyAlignment="1">
      <alignment vertical="top"/>
    </xf>
    <xf numFmtId="9" fontId="50" fillId="0" borderId="33" xfId="31" applyNumberFormat="1" applyFont="1" applyBorder="1" applyAlignment="1">
      <alignment horizontal="right" vertical="top"/>
    </xf>
    <xf numFmtId="9" fontId="2" fillId="14" borderId="33" xfId="31" applyNumberFormat="1" applyFill="1" applyBorder="1" applyAlignment="1">
      <alignment vertical="top"/>
    </xf>
    <xf numFmtId="9" fontId="2" fillId="0" borderId="33" xfId="31" applyNumberFormat="1" applyBorder="1" applyAlignment="1">
      <alignment horizontal="center" vertical="top"/>
    </xf>
    <xf numFmtId="9" fontId="50" fillId="0" borderId="33" xfId="31" applyNumberFormat="1" applyFont="1" applyBorder="1" applyAlignment="1">
      <alignment vertical="top"/>
    </xf>
    <xf numFmtId="189" fontId="2" fillId="14" borderId="33" xfId="31" applyNumberFormat="1" applyFill="1" applyBorder="1" applyAlignment="1">
      <alignment vertical="top"/>
    </xf>
    <xf numFmtId="205" fontId="2" fillId="0" borderId="33" xfId="31" applyNumberFormat="1" applyBorder="1" applyAlignment="1">
      <alignment vertical="top"/>
    </xf>
    <xf numFmtId="205" fontId="50" fillId="0" borderId="33" xfId="31" applyNumberFormat="1" applyFont="1" applyBorder="1" applyAlignment="1">
      <alignment horizontal="right" vertical="top"/>
    </xf>
    <xf numFmtId="205" fontId="2" fillId="14" borderId="33" xfId="31" applyNumberFormat="1" applyFill="1" applyBorder="1" applyAlignment="1">
      <alignment vertical="top"/>
    </xf>
    <xf numFmtId="205" fontId="2" fillId="0" borderId="33" xfId="31" applyNumberFormat="1" applyBorder="1" applyAlignment="1">
      <alignment horizontal="center" vertical="top"/>
    </xf>
    <xf numFmtId="205" fontId="50" fillId="0" borderId="33" xfId="31" applyNumberFormat="1" applyFont="1" applyBorder="1" applyAlignment="1">
      <alignment vertical="top"/>
    </xf>
    <xf numFmtId="2" fontId="2" fillId="0" borderId="33" xfId="31" applyNumberFormat="1" applyBorder="1" applyAlignment="1">
      <alignment vertical="top"/>
    </xf>
    <xf numFmtId="2" fontId="50" fillId="0" borderId="33" xfId="31" applyNumberFormat="1" applyFont="1" applyBorder="1" applyAlignment="1">
      <alignment horizontal="right" vertical="top"/>
    </xf>
    <xf numFmtId="2" fontId="2" fillId="14" borderId="33" xfId="31" applyNumberFormat="1" applyFill="1" applyBorder="1" applyAlignment="1">
      <alignment vertical="top"/>
    </xf>
    <xf numFmtId="2" fontId="2" fillId="0" borderId="33" xfId="31" applyNumberFormat="1" applyBorder="1" applyAlignment="1">
      <alignment horizontal="center" vertical="top"/>
    </xf>
    <xf numFmtId="2" fontId="50" fillId="0" borderId="33" xfId="31" applyNumberFormat="1" applyFont="1" applyBorder="1" applyAlignment="1">
      <alignment vertical="top"/>
    </xf>
    <xf numFmtId="206" fontId="2" fillId="0" borderId="33" xfId="31" applyNumberFormat="1" applyBorder="1" applyAlignment="1">
      <alignment vertical="top"/>
    </xf>
    <xf numFmtId="206" fontId="50" fillId="0" borderId="33" xfId="31" applyNumberFormat="1" applyFont="1" applyBorder="1" applyAlignment="1">
      <alignment horizontal="right" vertical="top"/>
    </xf>
    <xf numFmtId="206" fontId="2" fillId="14" borderId="33" xfId="31" applyNumberFormat="1" applyFill="1" applyBorder="1" applyAlignment="1">
      <alignment vertical="top"/>
    </xf>
    <xf numFmtId="206" fontId="2" fillId="0" borderId="33" xfId="31" applyNumberFormat="1" applyBorder="1" applyAlignment="1">
      <alignment horizontal="center" vertical="top"/>
    </xf>
    <xf numFmtId="206" fontId="50" fillId="0" borderId="33" xfId="31" applyNumberFormat="1" applyFont="1" applyBorder="1" applyAlignment="1">
      <alignment vertical="top"/>
    </xf>
    <xf numFmtId="207" fontId="2" fillId="0" borderId="33" xfId="31" applyNumberFormat="1" applyBorder="1" applyAlignment="1">
      <alignment vertical="top"/>
    </xf>
    <xf numFmtId="207" fontId="50" fillId="0" borderId="33" xfId="31" applyNumberFormat="1" applyFont="1" applyBorder="1" applyAlignment="1">
      <alignment horizontal="right" vertical="top"/>
    </xf>
    <xf numFmtId="207" fontId="2" fillId="14" borderId="33" xfId="31" applyNumberFormat="1" applyFill="1" applyBorder="1" applyAlignment="1">
      <alignment vertical="top"/>
    </xf>
    <xf numFmtId="207" fontId="2" fillId="0" borderId="33" xfId="31" applyNumberFormat="1" applyBorder="1" applyAlignment="1">
      <alignment horizontal="center" vertical="top"/>
    </xf>
    <xf numFmtId="207" fontId="50" fillId="0" borderId="33" xfId="31" applyNumberFormat="1" applyFont="1" applyBorder="1" applyAlignment="1">
      <alignment vertical="top"/>
    </xf>
    <xf numFmtId="208" fontId="2" fillId="0" borderId="33" xfId="31" applyNumberFormat="1" applyBorder="1" applyAlignment="1">
      <alignment vertical="top"/>
    </xf>
    <xf numFmtId="208" fontId="50" fillId="0" borderId="33" xfId="31" applyNumberFormat="1" applyFont="1" applyBorder="1" applyAlignment="1">
      <alignment horizontal="right" vertical="top"/>
    </xf>
    <xf numFmtId="208" fontId="2" fillId="14" borderId="33" xfId="31" applyNumberFormat="1" applyFill="1" applyBorder="1" applyAlignment="1">
      <alignment vertical="top"/>
    </xf>
    <xf numFmtId="208" fontId="2" fillId="0" borderId="33" xfId="31" applyNumberFormat="1" applyBorder="1" applyAlignment="1">
      <alignment horizontal="center" vertical="top"/>
    </xf>
    <xf numFmtId="208" fontId="50" fillId="0" borderId="33" xfId="31" applyNumberFormat="1" applyFont="1" applyBorder="1" applyAlignment="1">
      <alignment vertical="top"/>
    </xf>
    <xf numFmtId="0" fontId="2" fillId="0" borderId="33" xfId="31" applyFill="1" applyBorder="1" applyAlignment="1">
      <alignment vertical="top"/>
    </xf>
    <xf numFmtId="209" fontId="2" fillId="0" borderId="33" xfId="31" applyNumberFormat="1" applyBorder="1" applyAlignment="1">
      <alignment vertical="top"/>
    </xf>
    <xf numFmtId="209" fontId="50" fillId="0" borderId="33" xfId="31" applyNumberFormat="1" applyFont="1" applyBorder="1" applyAlignment="1">
      <alignment horizontal="right" vertical="top"/>
    </xf>
    <xf numFmtId="209" fontId="2" fillId="14" borderId="33" xfId="31" applyNumberFormat="1" applyFill="1" applyBorder="1" applyAlignment="1">
      <alignment vertical="top"/>
    </xf>
    <xf numFmtId="209" fontId="2" fillId="0" borderId="33" xfId="31" applyNumberFormat="1" applyBorder="1" applyAlignment="1">
      <alignment horizontal="center" vertical="top"/>
    </xf>
    <xf numFmtId="209" fontId="50" fillId="0" borderId="33" xfId="31" applyNumberFormat="1" applyFont="1" applyBorder="1" applyAlignment="1">
      <alignment vertical="top"/>
    </xf>
    <xf numFmtId="0" fontId="13" fillId="20" borderId="20" xfId="0" applyFont="1" applyFill="1" applyBorder="1" applyAlignment="1">
      <alignment horizontal="left" vertical="center"/>
    </xf>
    <xf numFmtId="0" fontId="13" fillId="20" borderId="23" xfId="0" applyFont="1" applyFill="1" applyBorder="1" applyAlignment="1">
      <alignment horizontal="left" vertical="center"/>
    </xf>
    <xf numFmtId="0" fontId="11" fillId="0" borderId="33" xfId="0" applyFont="1" applyBorder="1" applyAlignment="1">
      <alignment vertical="top"/>
    </xf>
    <xf numFmtId="187" fontId="46" fillId="0" borderId="33" xfId="0" applyNumberFormat="1" applyFont="1" applyBorder="1" applyAlignment="1">
      <alignment horizontal="center"/>
    </xf>
    <xf numFmtId="192" fontId="46" fillId="0" borderId="33" xfId="0" applyNumberFormat="1" applyFont="1" applyBorder="1" applyAlignment="1">
      <alignment horizontal="right"/>
    </xf>
    <xf numFmtId="0" fontId="23" fillId="13" borderId="0" xfId="0" applyFont="1" applyFill="1" applyAlignment="1">
      <alignment horizontal="center" vertical="center"/>
    </xf>
    <xf numFmtId="0" fontId="55" fillId="21" borderId="17" xfId="0" applyFont="1" applyFill="1" applyBorder="1" applyAlignment="1">
      <alignment vertical="center"/>
    </xf>
    <xf numFmtId="0" fontId="55" fillId="21" borderId="9" xfId="0" applyFont="1" applyFill="1" applyBorder="1" applyAlignment="1">
      <alignment vertical="center"/>
    </xf>
    <xf numFmtId="0" fontId="55" fillId="21" borderId="21" xfId="0" applyFont="1" applyFill="1" applyBorder="1" applyAlignment="1">
      <alignment vertical="center"/>
    </xf>
    <xf numFmtId="0" fontId="49" fillId="0" borderId="18" xfId="0" applyFont="1" applyBorder="1" applyAlignment="1">
      <alignment horizontal="left" vertical="center" wrapText="1"/>
    </xf>
    <xf numFmtId="0" fontId="49" fillId="0" borderId="19" xfId="0" applyFont="1" applyBorder="1" applyAlignment="1">
      <alignment horizontal="left" vertical="center" wrapText="1"/>
    </xf>
    <xf numFmtId="182" fontId="15" fillId="0" borderId="0" xfId="0" applyNumberFormat="1" applyFont="1" applyFill="1" applyAlignment="1">
      <alignment horizontal="left" vertical="center"/>
    </xf>
    <xf numFmtId="0" fontId="49" fillId="0" borderId="0" xfId="0" applyFont="1" applyFill="1" applyBorder="1" applyAlignment="1">
      <alignment horizontal="left" vertical="center" wrapText="1"/>
    </xf>
    <xf numFmtId="0" fontId="49" fillId="0" borderId="22" xfId="0" applyFont="1" applyFill="1" applyBorder="1" applyAlignment="1">
      <alignment horizontal="left" vertical="center" wrapText="1"/>
    </xf>
    <xf numFmtId="205" fontId="15" fillId="0" borderId="0" xfId="13" applyNumberFormat="1" applyFont="1" applyFill="1" applyAlignment="1">
      <alignment horizontal="right" vertical="center"/>
    </xf>
    <xf numFmtId="0" fontId="49" fillId="0" borderId="20" xfId="0" applyFont="1" applyFill="1" applyBorder="1" applyAlignment="1">
      <alignment horizontal="left" vertical="center" wrapText="1"/>
    </xf>
    <xf numFmtId="0" fontId="49" fillId="0" borderId="23" xfId="0" applyFont="1" applyFill="1" applyBorder="1" applyAlignment="1">
      <alignment horizontal="left" vertical="center" wrapText="1"/>
    </xf>
    <xf numFmtId="196" fontId="15" fillId="22" borderId="0" xfId="0" applyNumberFormat="1" applyFont="1" applyFill="1" applyAlignment="1">
      <alignment horizontal="center" vertical="center"/>
    </xf>
    <xf numFmtId="1" fontId="15" fillId="22" borderId="0" xfId="0" applyNumberFormat="1" applyFont="1" applyFill="1" applyAlignment="1">
      <alignment horizontal="center" vertical="center"/>
    </xf>
    <xf numFmtId="197" fontId="15" fillId="22" borderId="0" xfId="0" applyNumberFormat="1" applyFont="1" applyFill="1" applyAlignment="1">
      <alignment horizontal="center" vertical="center"/>
    </xf>
    <xf numFmtId="9" fontId="15" fillId="22" borderId="0" xfId="0" applyNumberFormat="1" applyFont="1" applyFill="1" applyAlignment="1">
      <alignment horizontal="center" vertical="center"/>
    </xf>
    <xf numFmtId="0" fontId="23" fillId="12" borderId="0" xfId="0" applyFont="1" applyFill="1" applyAlignment="1">
      <alignment horizontal="left" vertical="center"/>
    </xf>
    <xf numFmtId="0" fontId="15" fillId="12" borderId="0" xfId="0" applyFont="1" applyFill="1" applyBorder="1" applyAlignment="1">
      <alignment horizontal="left" vertical="center"/>
    </xf>
    <xf numFmtId="0" fontId="15" fillId="12" borderId="0" xfId="0" applyFont="1" applyFill="1" applyAlignment="1">
      <alignment horizontal="left" vertical="center"/>
    </xf>
    <xf numFmtId="0" fontId="15" fillId="12" borderId="0" xfId="0" applyFont="1" applyFill="1" applyAlignment="1">
      <alignment horizontal="left" vertical="center" wrapText="1"/>
    </xf>
    <xf numFmtId="194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left" vertical="center"/>
    </xf>
    <xf numFmtId="193" fontId="28" fillId="12" borderId="0" xfId="0" applyNumberFormat="1" applyFont="1" applyFill="1" applyBorder="1" applyAlignment="1">
      <alignment horizontal="center" vertical="center"/>
    </xf>
    <xf numFmtId="194" fontId="2" fillId="12" borderId="0" xfId="0" applyNumberFormat="1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left" vertical="center"/>
    </xf>
    <xf numFmtId="194" fontId="2" fillId="12" borderId="0" xfId="0" applyNumberFormat="1" applyFont="1" applyFill="1" applyAlignment="1">
      <alignment horizontal="left" vertical="center"/>
    </xf>
    <xf numFmtId="194" fontId="7" fillId="12" borderId="0" xfId="0" applyNumberFormat="1" applyFont="1" applyFill="1" applyBorder="1" applyAlignment="1">
      <alignment horizontal="center" vertical="center"/>
    </xf>
    <xf numFmtId="9" fontId="7" fillId="12" borderId="0" xfId="0" applyNumberFormat="1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center" vertical="center"/>
    </xf>
    <xf numFmtId="0" fontId="33" fillId="12" borderId="7" xfId="0" applyFont="1" applyFill="1" applyBorder="1" applyAlignment="1">
      <alignment horizontal="right" vertical="center"/>
    </xf>
    <xf numFmtId="165" fontId="33" fillId="12" borderId="5" xfId="0" applyNumberFormat="1" applyFont="1" applyFill="1" applyBorder="1" applyAlignment="1">
      <alignment horizontal="center" vertical="center"/>
    </xf>
    <xf numFmtId="164" fontId="33" fillId="12" borderId="5" xfId="0" applyNumberFormat="1" applyFont="1" applyFill="1" applyBorder="1" applyAlignment="1">
      <alignment horizontal="center" vertical="center"/>
    </xf>
    <xf numFmtId="164" fontId="33" fillId="12" borderId="5" xfId="0" applyNumberFormat="1" applyFont="1" applyFill="1" applyBorder="1" applyAlignment="1">
      <alignment horizontal="left" vertical="center"/>
    </xf>
    <xf numFmtId="191" fontId="33" fillId="12" borderId="5" xfId="0" applyNumberFormat="1" applyFont="1" applyFill="1" applyBorder="1" applyAlignment="1">
      <alignment horizontal="center" vertical="center"/>
    </xf>
    <xf numFmtId="192" fontId="33" fillId="12" borderId="5" xfId="0" applyNumberFormat="1" applyFont="1" applyFill="1" applyBorder="1" applyAlignment="1">
      <alignment horizontal="center" vertical="center"/>
    </xf>
    <xf numFmtId="193" fontId="33" fillId="12" borderId="5" xfId="0" applyNumberFormat="1" applyFont="1" applyFill="1" applyBorder="1" applyAlignment="1">
      <alignment horizontal="center" vertical="center"/>
    </xf>
    <xf numFmtId="169" fontId="33" fillId="12" borderId="5" xfId="0" applyNumberFormat="1" applyFont="1" applyFill="1" applyBorder="1" applyAlignment="1">
      <alignment horizontal="center" vertical="center"/>
    </xf>
    <xf numFmtId="180" fontId="33" fillId="12" borderId="25" xfId="0" applyNumberFormat="1" applyFont="1" applyFill="1" applyBorder="1" applyAlignment="1">
      <alignment horizontal="center" vertical="center"/>
    </xf>
    <xf numFmtId="0" fontId="7" fillId="12" borderId="0" xfId="0" applyFont="1" applyFill="1" applyBorder="1" applyAlignment="1">
      <alignment horizontal="center" vertical="center"/>
    </xf>
    <xf numFmtId="194" fontId="10" fillId="12" borderId="0" xfId="0" applyNumberFormat="1" applyFont="1" applyFill="1" applyBorder="1" applyAlignment="1">
      <alignment horizontal="left" vertical="center"/>
    </xf>
    <xf numFmtId="0" fontId="33" fillId="12" borderId="1" xfId="0" applyFont="1" applyFill="1" applyBorder="1" applyAlignment="1">
      <alignment horizontal="right" vertical="center"/>
    </xf>
    <xf numFmtId="165" fontId="33" fillId="12" borderId="0" xfId="0" applyNumberFormat="1" applyFont="1" applyFill="1" applyBorder="1" applyAlignment="1">
      <alignment horizontal="center" vertical="center"/>
    </xf>
    <xf numFmtId="164" fontId="33" fillId="12" borderId="0" xfId="0" applyNumberFormat="1" applyFont="1" applyFill="1" applyBorder="1" applyAlignment="1">
      <alignment horizontal="center" vertical="center"/>
    </xf>
    <xf numFmtId="164" fontId="33" fillId="12" borderId="0" xfId="0" applyNumberFormat="1" applyFont="1" applyFill="1" applyBorder="1" applyAlignment="1">
      <alignment horizontal="left" vertical="center"/>
    </xf>
    <xf numFmtId="191" fontId="33" fillId="12" borderId="0" xfId="0" applyNumberFormat="1" applyFont="1" applyFill="1" applyBorder="1" applyAlignment="1">
      <alignment horizontal="center" vertical="center"/>
    </xf>
    <xf numFmtId="192" fontId="33" fillId="12" borderId="0" xfId="0" applyNumberFormat="1" applyFont="1" applyFill="1" applyBorder="1" applyAlignment="1">
      <alignment horizontal="center" vertical="center"/>
    </xf>
    <xf numFmtId="193" fontId="33" fillId="12" borderId="0" xfId="0" applyNumberFormat="1" applyFont="1" applyFill="1" applyBorder="1" applyAlignment="1">
      <alignment horizontal="center" vertical="center"/>
    </xf>
    <xf numFmtId="169" fontId="33" fillId="12" borderId="0" xfId="0" applyNumberFormat="1" applyFont="1" applyFill="1" applyBorder="1" applyAlignment="1">
      <alignment horizontal="center" vertical="center"/>
    </xf>
    <xf numFmtId="180" fontId="33" fillId="12" borderId="3" xfId="0" applyNumberFormat="1" applyFont="1" applyFill="1" applyBorder="1" applyAlignment="1">
      <alignment horizontal="center" vertical="center"/>
    </xf>
    <xf numFmtId="9" fontId="8" fillId="12" borderId="0" xfId="0" applyNumberFormat="1" applyFont="1" applyFill="1" applyBorder="1" applyAlignment="1">
      <alignment horizontal="center" vertical="center"/>
    </xf>
    <xf numFmtId="164" fontId="33" fillId="12" borderId="3" xfId="0" applyNumberFormat="1" applyFont="1" applyFill="1" applyBorder="1" applyAlignment="1">
      <alignment horizontal="left" vertical="center"/>
    </xf>
    <xf numFmtId="194" fontId="2" fillId="12" borderId="0" xfId="0" applyNumberFormat="1" applyFont="1" applyFill="1" applyBorder="1" applyAlignment="1">
      <alignment horizontal="left" vertical="center"/>
    </xf>
    <xf numFmtId="165" fontId="12" fillId="12" borderId="0" xfId="0" applyNumberFormat="1" applyFont="1" applyFill="1" applyBorder="1" applyAlignment="1">
      <alignment horizontal="center" vertical="center"/>
    </xf>
    <xf numFmtId="0" fontId="33" fillId="12" borderId="4" xfId="0" applyFont="1" applyFill="1" applyBorder="1" applyAlignment="1">
      <alignment horizontal="right" vertical="center"/>
    </xf>
    <xf numFmtId="165" fontId="33" fillId="12" borderId="2" xfId="0" applyNumberFormat="1" applyFont="1" applyFill="1" applyBorder="1" applyAlignment="1">
      <alignment horizontal="center" vertical="center"/>
    </xf>
    <xf numFmtId="164" fontId="33" fillId="12" borderId="2" xfId="0" applyNumberFormat="1" applyFont="1" applyFill="1" applyBorder="1" applyAlignment="1">
      <alignment horizontal="center" vertical="center"/>
    </xf>
    <xf numFmtId="164" fontId="33" fillId="12" borderId="2" xfId="0" applyNumberFormat="1" applyFont="1" applyFill="1" applyBorder="1" applyAlignment="1">
      <alignment horizontal="left" vertical="center"/>
    </xf>
    <xf numFmtId="191" fontId="33" fillId="12" borderId="2" xfId="0" applyNumberFormat="1" applyFont="1" applyFill="1" applyBorder="1" applyAlignment="1">
      <alignment horizontal="center" vertical="center"/>
    </xf>
    <xf numFmtId="192" fontId="33" fillId="12" borderId="2" xfId="0" applyNumberFormat="1" applyFont="1" applyFill="1" applyBorder="1" applyAlignment="1">
      <alignment horizontal="center" vertical="center"/>
    </xf>
    <xf numFmtId="193" fontId="33" fillId="12" borderId="2" xfId="0" applyNumberFormat="1" applyFont="1" applyFill="1" applyBorder="1" applyAlignment="1">
      <alignment horizontal="center" vertical="center"/>
    </xf>
    <xf numFmtId="169" fontId="33" fillId="12" borderId="2" xfId="0" applyNumberFormat="1" applyFont="1" applyFill="1" applyBorder="1" applyAlignment="1">
      <alignment horizontal="center" vertical="center"/>
    </xf>
    <xf numFmtId="180" fontId="33" fillId="12" borderId="6" xfId="0" applyNumberFormat="1" applyFont="1" applyFill="1" applyBorder="1" applyAlignment="1">
      <alignment horizontal="center" vertical="center"/>
    </xf>
    <xf numFmtId="180" fontId="33" fillId="12" borderId="0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horizontal="left" vertical="center"/>
    </xf>
    <xf numFmtId="0" fontId="33" fillId="12" borderId="0" xfId="0" applyFont="1" applyFill="1" applyBorder="1" applyAlignment="1">
      <alignment horizontal="center" vertical="center"/>
    </xf>
    <xf numFmtId="200" fontId="15" fillId="0" borderId="5" xfId="0" applyNumberFormat="1" applyFont="1" applyFill="1" applyBorder="1" applyAlignment="1">
      <alignment horizontal="center" vertical="center" textRotation="90"/>
    </xf>
    <xf numFmtId="200" fontId="15" fillId="0" borderId="0" xfId="0" applyNumberFormat="1" applyFont="1" applyFill="1" applyBorder="1" applyAlignment="1">
      <alignment horizontal="center" vertical="center" textRotation="90"/>
    </xf>
    <xf numFmtId="200" fontId="15" fillId="0" borderId="2" xfId="0" applyNumberFormat="1" applyFont="1" applyFill="1" applyBorder="1" applyAlignment="1">
      <alignment horizontal="center" vertical="center" textRotation="90"/>
    </xf>
    <xf numFmtId="0" fontId="14" fillId="5" borderId="0" xfId="0" applyFont="1" applyFill="1" applyBorder="1" applyAlignment="1">
      <alignment horizontal="right" vertical="center" wrapText="1"/>
    </xf>
    <xf numFmtId="0" fontId="14" fillId="5" borderId="5" xfId="0" applyFont="1" applyFill="1" applyBorder="1" applyAlignment="1">
      <alignment horizontal="right" vertical="center" wrapText="1"/>
    </xf>
    <xf numFmtId="0" fontId="13" fillId="20" borderId="9" xfId="0" applyFont="1" applyFill="1" applyBorder="1" applyAlignment="1">
      <alignment horizontal="left" vertical="center"/>
    </xf>
    <xf numFmtId="0" fontId="13" fillId="20" borderId="21" xfId="0" applyFont="1" applyFill="1" applyBorder="1" applyAlignment="1">
      <alignment horizontal="left" vertical="center"/>
    </xf>
    <xf numFmtId="0" fontId="13" fillId="20" borderId="0" xfId="0" applyFont="1" applyFill="1" applyBorder="1" applyAlignment="1">
      <alignment horizontal="left" vertical="center"/>
    </xf>
    <xf numFmtId="0" fontId="13" fillId="20" borderId="22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11" fillId="0" borderId="25" xfId="0" applyFont="1" applyFill="1" applyBorder="1" applyAlignment="1">
      <alignment horizontal="left" vertical="center"/>
    </xf>
    <xf numFmtId="0" fontId="38" fillId="12" borderId="3" xfId="0" applyFont="1" applyFill="1" applyBorder="1" applyAlignment="1">
      <alignment horizontal="center" vertical="center" textRotation="90"/>
    </xf>
    <xf numFmtId="203" fontId="0" fillId="7" borderId="0" xfId="0" applyNumberFormat="1" applyFill="1" applyAlignment="1">
      <alignment horizontal="left" vertical="center"/>
    </xf>
    <xf numFmtId="183" fontId="54" fillId="13" borderId="0" xfId="0" applyNumberFormat="1" applyFont="1" applyFill="1" applyAlignment="1">
      <alignment horizontal="left" vertical="center" wrapText="1"/>
    </xf>
    <xf numFmtId="187" fontId="41" fillId="0" borderId="26" xfId="0" applyNumberFormat="1" applyFont="1" applyFill="1" applyBorder="1" applyAlignment="1">
      <alignment vertical="center" textRotation="90"/>
    </xf>
    <xf numFmtId="188" fontId="21" fillId="0" borderId="0" xfId="0" applyNumberFormat="1" applyFont="1" applyAlignment="1">
      <alignment horizontal="left" vertical="center"/>
    </xf>
    <xf numFmtId="185" fontId="40" fillId="17" borderId="18" xfId="0" applyNumberFormat="1" applyFont="1" applyFill="1" applyBorder="1" applyAlignment="1">
      <alignment horizontal="center" vertical="center"/>
    </xf>
    <xf numFmtId="185" fontId="40" fillId="17" borderId="0" xfId="0" applyNumberFormat="1" applyFont="1" applyFill="1" applyBorder="1" applyAlignment="1">
      <alignment horizontal="center" vertical="center"/>
    </xf>
    <xf numFmtId="187" fontId="41" fillId="0" borderId="0" xfId="0" applyNumberFormat="1" applyFont="1" applyFill="1" applyBorder="1" applyAlignment="1">
      <alignment horizontal="left" vertical="center" textRotation="90"/>
    </xf>
    <xf numFmtId="0" fontId="2" fillId="13" borderId="27" xfId="31" applyFill="1" applyBorder="1" applyAlignment="1">
      <alignment horizontal="center" vertical="top" wrapText="1"/>
    </xf>
    <xf numFmtId="0" fontId="2" fillId="13" borderId="29" xfId="31" applyFill="1" applyBorder="1" applyAlignment="1">
      <alignment horizontal="center" vertical="top" wrapText="1"/>
    </xf>
    <xf numFmtId="0" fontId="2" fillId="13" borderId="7" xfId="31" applyFont="1" applyFill="1" applyBorder="1" applyAlignment="1">
      <alignment horizontal="center" vertical="top" wrapText="1"/>
    </xf>
    <xf numFmtId="0" fontId="2" fillId="13" borderId="25" xfId="31" applyFont="1" applyFill="1" applyBorder="1" applyAlignment="1">
      <alignment horizontal="center" vertical="top" wrapText="1"/>
    </xf>
    <xf numFmtId="0" fontId="2" fillId="13" borderId="27" xfId="31" applyFont="1" applyFill="1" applyBorder="1" applyAlignment="1">
      <alignment horizontal="center" vertical="top" wrapText="1"/>
    </xf>
    <xf numFmtId="0" fontId="2" fillId="0" borderId="27" xfId="0" applyFont="1" applyFill="1" applyBorder="1" applyAlignment="1">
      <alignment horizontal="center" vertical="top" wrapText="1"/>
    </xf>
    <xf numFmtId="0" fontId="2" fillId="0" borderId="29" xfId="0" applyFont="1" applyFill="1" applyBorder="1" applyAlignment="1">
      <alignment horizontal="center" vertical="top" wrapText="1"/>
    </xf>
  </cellXfs>
  <cellStyles count="3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  <cellStyle name="Normal 2" xfId="31" xr:uid="{B1CBAF7A-D6D2-9742-AB15-F2F73E3EFD29}"/>
    <cellStyle name="Percent" xfId="13" builtinId="5"/>
  </cellStyles>
  <dxfs count="8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92" formatCode="#,###&quot; kg/m3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91" formatCode="0.0##&quot; kJ/kg K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0"/>
      </font>
      <fill>
        <patternFill patternType="solid">
          <fgColor indexed="64"/>
          <bgColor rgb="FF3366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8FB"/>
      <color rgb="FF8EFA00"/>
      <color rgb="FFFF8AD8"/>
      <color rgb="FFD883FF"/>
      <color rgb="FFFF85FF"/>
      <color rgb="FF0000FF"/>
      <color rgb="FF66FF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12-1B42-812D-902F28C8EBA6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12-1B42-812D-902F28C8EBA6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12-1B42-812D-902F28C8EBA6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12-1B42-812D-902F28C8EBA6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12-1B42-812D-902F28C8EBA6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12-1B42-812D-902F28C8E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Losses!$AG$17:$AG$22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Losses!$AF$17:$AF$22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F912-1B42-812D-902F28C8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8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Losses!$O$2:$O$12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cat>
          <c:val>
            <c:numRef>
              <c:f>Losses!$T$2:$T$12</c:f>
              <c:numCache>
                <c:formatCode>#,###" W"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9-EF47-BBD1-5DDC2695989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8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'U Value'!$B$6:$B$15</c:f>
              <c:strCache>
                <c:ptCount val="3"/>
                <c:pt idx="0">
                  <c:v>AIRSPACE 1</c:v>
                </c:pt>
                <c:pt idx="1">
                  <c:v>Brick</c:v>
                </c:pt>
                <c:pt idx="2">
                  <c:v>AIRSPACE 2</c:v>
                </c:pt>
              </c:strCache>
            </c:strRef>
          </c:cat>
          <c:val>
            <c:numRef>
              <c:f>'U Value'!$V$6:$V$15</c:f>
            </c:numRef>
          </c:val>
          <c:extLst>
            <c:ext xmlns:c16="http://schemas.microsoft.com/office/drawing/2014/chart" uri="{C3380CC4-5D6E-409C-BE32-E72D297353CC}">
              <c16:uniqueId val="{00000000-87CF-5943-8E4D-A9C2AFE5610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PROFILE </a:t>
            </a:r>
          </a:p>
          <a:p>
            <a:pPr>
              <a:defRPr/>
            </a:pPr>
            <a:r>
              <a:rPr lang="en-US"/>
              <a:t>THROUGH FABRIC</a:t>
            </a:r>
          </a:p>
        </c:rich>
      </c:tx>
      <c:layout>
        <c:manualLayout>
          <c:xMode val="edge"/>
          <c:yMode val="edge"/>
          <c:x val="0.40508333333333335"/>
          <c:y val="0.22731593149538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06036745406828E-2"/>
          <c:y val="2.3827839842776755E-2"/>
          <c:w val="0.8649050743657043"/>
          <c:h val="0.73344153194928119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'U Value'!$G$4:$R$4</c:f>
              <c:strCache>
                <c:ptCount val="12"/>
                <c:pt idx="0">
                  <c:v>INNER SURFACE</c:v>
                </c:pt>
                <c:pt idx="1">
                  <c:v>AIRSPACE 1-Rsi (floor)</c:v>
                </c:pt>
                <c:pt idx="2">
                  <c:v>Brick-</c:v>
                </c:pt>
                <c:pt idx="3">
                  <c:v>AIRSPACE 2-Rso (wall)</c:v>
                </c:pt>
                <c:pt idx="4">
                  <c:v>-</c:v>
                </c:pt>
                <c:pt idx="5">
                  <c:v>-</c:v>
                </c:pt>
                <c:pt idx="6">
                  <c:v>-</c:v>
                </c:pt>
                <c:pt idx="7">
                  <c:v>-</c:v>
                </c:pt>
                <c:pt idx="8">
                  <c:v>-</c:v>
                </c:pt>
                <c:pt idx="9">
                  <c:v>-</c:v>
                </c:pt>
                <c:pt idx="10">
                  <c:v>-</c:v>
                </c:pt>
                <c:pt idx="11">
                  <c:v>OUTER SURFACE</c:v>
                </c:pt>
              </c:strCache>
            </c:strRef>
          </c:cat>
          <c:val>
            <c:numRef>
              <c:f>'U Value'!$G$16:$R$16</c:f>
              <c:numCache>
                <c:formatCode>0.0" C"</c:formatCode>
                <c:ptCount val="12"/>
                <c:pt idx="0">
                  <c:v>21</c:v>
                </c:pt>
                <c:pt idx="1">
                  <c:v>10.16754617414248</c:v>
                </c:pt>
                <c:pt idx="2">
                  <c:v>1.8232189973614794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3-4F42-88A2-B30E2270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176079"/>
        <c:axId val="1086475039"/>
      </c:lineChart>
      <c:catAx>
        <c:axId val="1210176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475039"/>
        <c:crossesAt val="-5"/>
        <c:auto val="1"/>
        <c:lblAlgn val="ctr"/>
        <c:lblOffset val="100"/>
        <c:noMultiLvlLbl val="0"/>
      </c:catAx>
      <c:valAx>
        <c:axId val="108647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 C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176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 pitchFamily="2" charset="0"/>
                <a:cs typeface="Arial" pitchFamily="2" charset="0"/>
              </a:rPr>
              <a:t>THERMAL INSULATION CHANGES (UK)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0" i="0" u="none" strike="noStrike" baseline="0">
                <a:solidFill>
                  <a:srgbClr val="006411"/>
                </a:solidFill>
                <a:latin typeface="Arial" pitchFamily="2" charset="0"/>
                <a:cs typeface="Arial" pitchFamily="2" charset="0"/>
              </a:rPr>
              <a:t>Technical Support Associates</a:t>
            </a:r>
          </a:p>
        </c:rich>
      </c:tx>
      <c:layout>
        <c:manualLayout>
          <c:xMode val="edge"/>
          <c:yMode val="edge"/>
          <c:x val="0.34046409219637563"/>
          <c:y val="2.9197068359534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16610121104404"/>
          <c:y val="0.13040024709632933"/>
          <c:w val="0.7611421449249125"/>
          <c:h val="0.63602468652953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'Building Regs'!$A$5:$B$5</c:f>
              <c:strCache>
                <c:ptCount val="2"/>
                <c:pt idx="0">
                  <c:v>Roof</c:v>
                </c:pt>
                <c:pt idx="1">
                  <c:v>Dwellings</c:v>
                </c:pt>
              </c:strCache>
            </c:strRef>
          </c:tx>
          <c:spPr>
            <a:solidFill>
              <a:srgbClr val="63AAFE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'Building Regs'!$C$3:$J$4</c:f>
              <c:strCache>
                <c:ptCount val="7"/>
                <c:pt idx="0">
                  <c:v>1965 Building Regulations</c:v>
                </c:pt>
                <c:pt idx="1">
                  <c:v>1976 Building Regulations</c:v>
                </c:pt>
                <c:pt idx="2">
                  <c:v>1982 Building Regulations</c:v>
                </c:pt>
                <c:pt idx="3">
                  <c:v>1985 Part L 1990 edition</c:v>
                </c:pt>
                <c:pt idx="4">
                  <c:v>2002 Building Regulations Part L1</c:v>
                </c:pt>
                <c:pt idx="5">
                  <c:v>Part L &amp; EPBD 2006</c:v>
                </c:pt>
                <c:pt idx="6">
                  <c:v>Part L &amp; EPBD 2010</c:v>
                </c:pt>
              </c:strCache>
            </c:strRef>
          </c:cat>
          <c:val>
            <c:numRef>
              <c:f>'Building Regs'!$C$5:$J$5</c:f>
              <c:numCache>
                <c:formatCode>0.###" W/m2K"</c:formatCode>
                <c:ptCount val="7"/>
                <c:pt idx="0">
                  <c:v>1.42</c:v>
                </c:pt>
                <c:pt idx="1">
                  <c:v>0.6</c:v>
                </c:pt>
                <c:pt idx="2">
                  <c:v>0.35</c:v>
                </c:pt>
                <c:pt idx="3">
                  <c:v>0.25</c:v>
                </c:pt>
                <c:pt idx="4">
                  <c:v>0.2</c:v>
                </c:pt>
                <c:pt idx="5">
                  <c:v>0.2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8-BC48-9D07-ABDD18AFF60F}"/>
            </c:ext>
          </c:extLst>
        </c:ser>
        <c:ser>
          <c:idx val="1"/>
          <c:order val="1"/>
          <c:tx>
            <c:strRef>
              <c:f>'Building Regs'!$A$6:$B$6</c:f>
              <c:strCache>
                <c:ptCount val="2"/>
                <c:pt idx="0">
                  <c:v>Walls</c:v>
                </c:pt>
                <c:pt idx="1">
                  <c:v>Dwellings</c:v>
                </c:pt>
              </c:strCache>
            </c:strRef>
          </c:tx>
          <c:spPr>
            <a:solidFill>
              <a:srgbClr val="DD2D3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'Building Regs'!$C$3:$J$4</c:f>
              <c:strCache>
                <c:ptCount val="7"/>
                <c:pt idx="0">
                  <c:v>1965 Building Regulations</c:v>
                </c:pt>
                <c:pt idx="1">
                  <c:v>1976 Building Regulations</c:v>
                </c:pt>
                <c:pt idx="2">
                  <c:v>1982 Building Regulations</c:v>
                </c:pt>
                <c:pt idx="3">
                  <c:v>1985 Part L 1990 edition</c:v>
                </c:pt>
                <c:pt idx="4">
                  <c:v>2002 Building Regulations Part L1</c:v>
                </c:pt>
                <c:pt idx="5">
                  <c:v>Part L &amp; EPBD 2006</c:v>
                </c:pt>
                <c:pt idx="6">
                  <c:v>Part L &amp; EPBD 2010</c:v>
                </c:pt>
              </c:strCache>
            </c:strRef>
          </c:cat>
          <c:val>
            <c:numRef>
              <c:f>'Building Regs'!$C$6:$J$6</c:f>
              <c:numCache>
                <c:formatCode>0.0##" W/m2K"</c:formatCode>
                <c:ptCount val="7"/>
                <c:pt idx="0" formatCode="0.###&quot; W/m2K&quot;">
                  <c:v>1.7</c:v>
                </c:pt>
                <c:pt idx="1">
                  <c:v>1</c:v>
                </c:pt>
                <c:pt idx="2" formatCode="0.###&quot; W/m2K&quot;">
                  <c:v>0.6</c:v>
                </c:pt>
                <c:pt idx="3" formatCode="0.###&quot; W/m2K&quot;">
                  <c:v>0.45</c:v>
                </c:pt>
                <c:pt idx="4" formatCode="0.###&quot; W/m2K&quot;">
                  <c:v>0.35</c:v>
                </c:pt>
                <c:pt idx="5" formatCode="0.###&quot; W/m2K&quot;">
                  <c:v>0.35</c:v>
                </c:pt>
                <c:pt idx="6" formatCode="0.###&quot; W/m2K&quot;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8-BC48-9D07-ABDD18AFF60F}"/>
            </c:ext>
          </c:extLst>
        </c:ser>
        <c:ser>
          <c:idx val="2"/>
          <c:order val="2"/>
          <c:tx>
            <c:strRef>
              <c:f>'Building Regs'!$A$7:$B$7</c:f>
              <c:strCache>
                <c:ptCount val="2"/>
                <c:pt idx="0">
                  <c:v>Floor</c:v>
                </c:pt>
                <c:pt idx="1">
                  <c:v>Dwellings</c:v>
                </c:pt>
              </c:strCache>
            </c:strRef>
          </c:tx>
          <c:spPr>
            <a:solidFill>
              <a:srgbClr val="FFF58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'Building Regs'!$C$3:$J$4</c:f>
              <c:strCache>
                <c:ptCount val="7"/>
                <c:pt idx="0">
                  <c:v>1965 Building Regulations</c:v>
                </c:pt>
                <c:pt idx="1">
                  <c:v>1976 Building Regulations</c:v>
                </c:pt>
                <c:pt idx="2">
                  <c:v>1982 Building Regulations</c:v>
                </c:pt>
                <c:pt idx="3">
                  <c:v>1985 Part L 1990 edition</c:v>
                </c:pt>
                <c:pt idx="4">
                  <c:v>2002 Building Regulations Part L1</c:v>
                </c:pt>
                <c:pt idx="5">
                  <c:v>Part L &amp; EPBD 2006</c:v>
                </c:pt>
                <c:pt idx="6">
                  <c:v>Part L &amp; EPBD 2010</c:v>
                </c:pt>
              </c:strCache>
            </c:strRef>
          </c:cat>
          <c:val>
            <c:numRef>
              <c:f>'Building Regs'!$C$7:$J$7</c:f>
              <c:numCache>
                <c:formatCode>0.###" W/m2K"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8-BC48-9D07-ABDD18AFF60F}"/>
            </c:ext>
          </c:extLst>
        </c:ser>
        <c:ser>
          <c:idx val="3"/>
          <c:order val="3"/>
          <c:tx>
            <c:strRef>
              <c:f>'Building Regs'!$A$8:$B$8</c:f>
              <c:strCache>
                <c:ptCount val="2"/>
                <c:pt idx="0">
                  <c:v>Windows</c:v>
                </c:pt>
              </c:strCache>
            </c:strRef>
          </c:tx>
          <c:spPr>
            <a:solidFill>
              <a:srgbClr val="4EE257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'Building Regs'!$C$3:$J$4</c:f>
              <c:strCache>
                <c:ptCount val="7"/>
                <c:pt idx="0">
                  <c:v>1965 Building Regulations</c:v>
                </c:pt>
                <c:pt idx="1">
                  <c:v>1976 Building Regulations</c:v>
                </c:pt>
                <c:pt idx="2">
                  <c:v>1982 Building Regulations</c:v>
                </c:pt>
                <c:pt idx="3">
                  <c:v>1985 Part L 1990 edition</c:v>
                </c:pt>
                <c:pt idx="4">
                  <c:v>2002 Building Regulations Part L1</c:v>
                </c:pt>
                <c:pt idx="5">
                  <c:v>Part L &amp; EPBD 2006</c:v>
                </c:pt>
                <c:pt idx="6">
                  <c:v>Part L &amp; EPBD 2010</c:v>
                </c:pt>
              </c:strCache>
            </c:strRef>
          </c:cat>
          <c:val>
            <c:numRef>
              <c:f>'Building Regs'!$C$8:$J$8</c:f>
              <c:numCache>
                <c:formatCode>0.###" W/m2K"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8-BC48-9D07-ABDD18AFF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826399"/>
        <c:axId val="1"/>
      </c:barChart>
      <c:catAx>
        <c:axId val="108282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U-Value</a:t>
                </a:r>
              </a:p>
            </c:rich>
          </c:tx>
          <c:layout>
            <c:manualLayout>
              <c:xMode val="edge"/>
              <c:yMode val="edge"/>
              <c:x val="2.6738094848331066E-2"/>
              <c:y val="0.3722635751845898"/>
            </c:manualLayout>
          </c:layout>
          <c:overlay val="0"/>
          <c:spPr>
            <a:noFill/>
            <a:ln w="25400">
              <a:noFill/>
            </a:ln>
          </c:spPr>
        </c:title>
        <c:numFmt formatCode="0.###&quot; W/m2K&quot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2826399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2088496734166"/>
          <c:y val="0.17993651745088957"/>
          <c:w val="0.14761373123577842"/>
          <c:h val="0.276825600087186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1D6-9041-AD09-8D7CF17DF5A5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D6-9041-AD09-8D7CF17DF5A5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D6-9041-AD09-8D7CF17DF5A5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D6-9041-AD09-8D7CF17DF5A5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D6-9041-AD09-8D7CF17DF5A5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D6-9041-AD09-8D7CF17DF5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Losses!$AG$25:$AG$30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Losses!$AF$25:$AF$30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71D6-9041-AD09-8D7CF17DF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C64-D14D-918F-FBCD5A1ADAAA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64-D14D-918F-FBCD5A1ADAAA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64-D14D-918F-FBCD5A1ADAAA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64-D14D-918F-FBCD5A1ADAAA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64-D14D-918F-FBCD5A1ADAAA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64-D14D-918F-FBCD5A1ADA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Losses!$AG$33:$AG$38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Losses!$AF$33:$AF$38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EC64-D14D-918F-FBCD5A1AD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B24-EF48-86BB-5B67EA66613D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24-EF48-86BB-5B67EA66613D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24-EF48-86BB-5B67EA66613D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24-EF48-86BB-5B67EA66613D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24-EF48-86BB-5B67EA66613D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24-EF48-86BB-5B67EA6661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Losses!$AG$41:$AG$46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Losses!$AF$41:$AF$46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DB24-EF48-86BB-5B67EA666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A19-6147-A5D0-1C58222D7325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A19-6147-A5D0-1C58222D7325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A19-6147-A5D0-1C58222D7325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A19-6147-A5D0-1C58222D7325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A19-6147-A5D0-1C58222D7325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A19-6147-A5D0-1C58222D732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Losses!$AG$49:$AG$54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Losses!$AF$49:$AF$54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0A19-6147-A5D0-1C58222D7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7A2-B945-980B-F3EC98297A9D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A2-B945-980B-F3EC98297A9D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A2-B945-980B-F3EC98297A9D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A2-B945-980B-F3EC98297A9D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A2-B945-980B-F3EC98297A9D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7A2-B945-980B-F3EC98297A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Losses!$AG$57:$AG$62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Losses!$AF$57:$AF$62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C7A2-B945-980B-F3EC98297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F6D-9849-8BBD-72A0FD3A08E5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6D-9849-8BBD-72A0FD3A08E5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6D-9849-8BBD-72A0FD3A08E5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6D-9849-8BBD-72A0FD3A08E5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6D-9849-8BBD-72A0FD3A08E5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6D-9849-8BBD-72A0FD3A08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Losses!$AG$66:$AG$71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Losses!$AF$66:$AF$71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3F6D-9849-8BBD-72A0FD3A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D32-914C-995F-BB15E4C83D36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32-914C-995F-BB15E4C83D36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D32-914C-995F-BB15E4C83D36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D32-914C-995F-BB15E4C83D36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D32-914C-995F-BB15E4C83D36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D32-914C-995F-BB15E4C83D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Losses!$AG$73:$AG$78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Losses!$AF$73:$AF$78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3D32-914C-995F-BB15E4C83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63552066045802"/>
          <c:y val="0.188524590163934"/>
          <c:w val="0.28947178417116298"/>
          <c:h val="0.49224048872292497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D4-524F-9A5D-AF58E7C27626}"/>
              </c:ext>
            </c:extLst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D4-524F-9A5D-AF58E7C27626}"/>
              </c:ext>
            </c:extLst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D4-524F-9A5D-AF58E7C27626}"/>
              </c:ext>
            </c:extLst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D4-524F-9A5D-AF58E7C27626}"/>
              </c:ext>
            </c:extLst>
          </c:dPt>
          <c:dPt>
            <c:idx val="4"/>
            <c:bubble3D val="0"/>
            <c:spPr>
              <a:solidFill>
                <a:srgbClr val="4198A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D4-524F-9A5D-AF58E7C27626}"/>
              </c:ext>
            </c:extLst>
          </c:dPt>
          <c:dPt>
            <c:idx val="5"/>
            <c:bubble3D val="0"/>
            <c:spPr>
              <a:solidFill>
                <a:srgbClr val="DB843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D4-524F-9A5D-AF58E7C276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Losses!$AG$73:$AG$78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Losses!$AF$73:$AF$78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83D4-524F-9A5D-AF58E7C27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jp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283368</xdr:colOff>
      <xdr:row>16</xdr:row>
      <xdr:rowOff>35718</xdr:rowOff>
    </xdr:from>
    <xdr:to>
      <xdr:col>29</xdr:col>
      <xdr:colOff>1004093</xdr:colOff>
      <xdr:row>23</xdr:row>
      <xdr:rowOff>35719</xdr:rowOff>
    </xdr:to>
    <xdr:graphicFrame macro="">
      <xdr:nvGraphicFramePr>
        <xdr:cNvPr id="1396" name="Chart 1">
          <a:extLst>
            <a:ext uri="{FF2B5EF4-FFF2-40B4-BE49-F238E27FC236}">
              <a16:creationId xmlns:a16="http://schemas.microsoft.com/office/drawing/2014/main" id="{00000000-0008-0000-0800-000074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283368</xdr:colOff>
      <xdr:row>24</xdr:row>
      <xdr:rowOff>35718</xdr:rowOff>
    </xdr:from>
    <xdr:to>
      <xdr:col>29</xdr:col>
      <xdr:colOff>1004093</xdr:colOff>
      <xdr:row>31</xdr:row>
      <xdr:rowOff>35719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283368</xdr:colOff>
      <xdr:row>32</xdr:row>
      <xdr:rowOff>35718</xdr:rowOff>
    </xdr:from>
    <xdr:to>
      <xdr:col>29</xdr:col>
      <xdr:colOff>1004093</xdr:colOff>
      <xdr:row>39</xdr:row>
      <xdr:rowOff>35719</xdr:rowOff>
    </xdr:to>
    <xdr:graphicFrame macro="">
      <xdr:nvGraphicFramePr>
        <xdr:cNvPr id="20" name="Chart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283368</xdr:colOff>
      <xdr:row>40</xdr:row>
      <xdr:rowOff>35718</xdr:rowOff>
    </xdr:from>
    <xdr:to>
      <xdr:col>29</xdr:col>
      <xdr:colOff>1004093</xdr:colOff>
      <xdr:row>47</xdr:row>
      <xdr:rowOff>35719</xdr:rowOff>
    </xdr:to>
    <xdr:graphicFrame macro="">
      <xdr:nvGraphicFramePr>
        <xdr:cNvPr id="21" name="Chart 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302418</xdr:colOff>
      <xdr:row>48</xdr:row>
      <xdr:rowOff>7143</xdr:rowOff>
    </xdr:from>
    <xdr:to>
      <xdr:col>29</xdr:col>
      <xdr:colOff>1023143</xdr:colOff>
      <xdr:row>55</xdr:row>
      <xdr:rowOff>7144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283368</xdr:colOff>
      <xdr:row>56</xdr:row>
      <xdr:rowOff>35718</xdr:rowOff>
    </xdr:from>
    <xdr:to>
      <xdr:col>29</xdr:col>
      <xdr:colOff>1004093</xdr:colOff>
      <xdr:row>63</xdr:row>
      <xdr:rowOff>35719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283368</xdr:colOff>
      <xdr:row>64</xdr:row>
      <xdr:rowOff>35718</xdr:rowOff>
    </xdr:from>
    <xdr:to>
      <xdr:col>29</xdr:col>
      <xdr:colOff>1004093</xdr:colOff>
      <xdr:row>71</xdr:row>
      <xdr:rowOff>35719</xdr:rowOff>
    </xdr:to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283368</xdr:colOff>
      <xdr:row>72</xdr:row>
      <xdr:rowOff>35718</xdr:rowOff>
    </xdr:from>
    <xdr:to>
      <xdr:col>29</xdr:col>
      <xdr:colOff>1004093</xdr:colOff>
      <xdr:row>79</xdr:row>
      <xdr:rowOff>35719</xdr:rowOff>
    </xdr:to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283368</xdr:colOff>
      <xdr:row>80</xdr:row>
      <xdr:rowOff>35718</xdr:rowOff>
    </xdr:from>
    <xdr:to>
      <xdr:col>29</xdr:col>
      <xdr:colOff>1004093</xdr:colOff>
      <xdr:row>87</xdr:row>
      <xdr:rowOff>35719</xdr:rowOff>
    </xdr:to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184727</xdr:colOff>
      <xdr:row>0</xdr:row>
      <xdr:rowOff>37307</xdr:rowOff>
    </xdr:from>
    <xdr:to>
      <xdr:col>23</xdr:col>
      <xdr:colOff>704271</xdr:colOff>
      <xdr:row>11</xdr:row>
      <xdr:rowOff>150091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24</xdr:col>
      <xdr:colOff>381000</xdr:colOff>
      <xdr:row>0</xdr:row>
      <xdr:rowOff>127000</xdr:rowOff>
    </xdr:from>
    <xdr:to>
      <xdr:col>25</xdr:col>
      <xdr:colOff>803763</xdr:colOff>
      <xdr:row>3</xdr:row>
      <xdr:rowOff>28575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859750" y="127000"/>
          <a:ext cx="1311763" cy="52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451485</xdr:colOff>
      <xdr:row>3</xdr:row>
      <xdr:rowOff>198120</xdr:rowOff>
    </xdr:from>
    <xdr:to>
      <xdr:col>6</xdr:col>
      <xdr:colOff>451485</xdr:colOff>
      <xdr:row>15</xdr:row>
      <xdr:rowOff>38100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5201285" y="756920"/>
          <a:ext cx="0" cy="3218180"/>
        </a:xfrm>
        <a:prstGeom prst="line">
          <a:avLst/>
        </a:prstGeom>
        <a:ln>
          <a:prstDash val="dash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114300</xdr:colOff>
      <xdr:row>3</xdr:row>
      <xdr:rowOff>81915</xdr:rowOff>
    </xdr:from>
    <xdr:to>
      <xdr:col>17</xdr:col>
      <xdr:colOff>114300</xdr:colOff>
      <xdr:row>14</xdr:row>
      <xdr:rowOff>188595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3512800" y="640715"/>
          <a:ext cx="0" cy="3218180"/>
        </a:xfrm>
        <a:prstGeom prst="line">
          <a:avLst/>
        </a:prstGeom>
        <a:ln>
          <a:prstDash val="dash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16</xdr:row>
      <xdr:rowOff>199158</xdr:rowOff>
    </xdr:from>
    <xdr:to>
      <xdr:col>4</xdr:col>
      <xdr:colOff>510887</xdr:colOff>
      <xdr:row>28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486263</xdr:colOff>
      <xdr:row>0</xdr:row>
      <xdr:rowOff>520700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0" y="0"/>
          <a:ext cx="1311763" cy="520700"/>
        </a:xfrm>
        <a:prstGeom prst="rect">
          <a:avLst/>
        </a:prstGeom>
      </xdr:spPr>
    </xdr:pic>
    <xdr:clientData/>
  </xdr:twoCellAnchor>
  <xdr:twoCellAnchor>
    <xdr:from>
      <xdr:col>10</xdr:col>
      <xdr:colOff>554182</xdr:colOff>
      <xdr:row>17</xdr:row>
      <xdr:rowOff>46182</xdr:rowOff>
    </xdr:from>
    <xdr:to>
      <xdr:col>17</xdr:col>
      <xdr:colOff>173181</xdr:colOff>
      <xdr:row>37</xdr:row>
      <xdr:rowOff>46182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38A20B-900B-B64E-A4F3-692BE91510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1397000</xdr:colOff>
      <xdr:row>39</xdr:row>
      <xdr:rowOff>139700</xdr:rowOff>
    </xdr:from>
    <xdr:to>
      <xdr:col>6</xdr:col>
      <xdr:colOff>12700</xdr:colOff>
      <xdr:row>62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A25FBE-E71D-0642-ABA2-E46E1B957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H12:J18" totalsRowShown="0" headerRowDxfId="6" dataDxfId="5">
  <autoFilter ref="H12:J18" xr:uid="{00000000-0009-0000-0100-000001000000}"/>
  <sortState ref="H13:J18">
    <sortCondition ref="H1:H7"/>
  </sortState>
  <tableColumns count="3">
    <tableColumn id="1" xr3:uid="{00000000-0010-0000-0000-000001000000}" name="Column1" dataDxfId="4"/>
    <tableColumn id="2" xr3:uid="{00000000-0010-0000-0000-000002000000}" name="Column2" dataDxfId="3"/>
    <tableColumn id="3" xr3:uid="{00000000-0010-0000-0000-000003000000}" name="Column3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AO88"/>
  <sheetViews>
    <sheetView showGridLines="0" zoomScale="110" zoomScaleNormal="110" zoomScalePageLayoutView="80" workbookViewId="0">
      <selection activeCell="E9" sqref="E9"/>
    </sheetView>
  </sheetViews>
  <sheetFormatPr baseColWidth="10" defaultColWidth="8.83203125" defaultRowHeight="13"/>
  <cols>
    <col min="1" max="1" width="4.5" style="1" bestFit="1" customWidth="1"/>
    <col min="2" max="2" width="17.33203125" style="1" customWidth="1"/>
    <col min="3" max="3" width="8.33203125" style="1" customWidth="1"/>
    <col min="4" max="4" width="5.6640625" style="1" customWidth="1"/>
    <col min="5" max="5" width="16.83203125" style="1" customWidth="1"/>
    <col min="6" max="6" width="7.83203125" style="56" bestFit="1" customWidth="1"/>
    <col min="7" max="7" width="7.83203125" style="1" customWidth="1"/>
    <col min="8" max="8" width="8.33203125" style="56" customWidth="1"/>
    <col min="9" max="9" width="10.1640625" style="1" bestFit="1" customWidth="1"/>
    <col min="10" max="10" width="20.83203125" style="1" bestFit="1" customWidth="1"/>
    <col min="11" max="11" width="12.83203125" style="1" customWidth="1"/>
    <col min="12" max="13" width="8.83203125" style="56" bestFit="1" customWidth="1"/>
    <col min="14" max="14" width="7.5" style="1" customWidth="1"/>
    <col min="15" max="15" width="17.1640625" style="1" customWidth="1"/>
    <col min="16" max="16" width="13.5" style="1" customWidth="1"/>
    <col min="17" max="17" width="8.83203125" style="228" hidden="1" customWidth="1"/>
    <col min="18" max="18" width="13.33203125" style="1" customWidth="1"/>
    <col min="19" max="19" width="9.33203125" style="1" customWidth="1"/>
    <col min="20" max="20" width="13" style="1" customWidth="1"/>
    <col min="21" max="21" width="4.1640625" style="1" customWidth="1"/>
    <col min="22" max="22" width="13.5" style="1" customWidth="1"/>
    <col min="23" max="23" width="11.6640625" style="1" bestFit="1" customWidth="1"/>
    <col min="24" max="24" width="18" style="1" customWidth="1"/>
    <col min="25" max="26" width="11.6640625" style="1" bestFit="1" customWidth="1"/>
    <col min="27" max="27" width="9.83203125" style="1" customWidth="1"/>
    <col min="28" max="28" width="5.33203125" style="436" hidden="1" customWidth="1"/>
    <col min="29" max="29" width="15.6640625" style="437" hidden="1" customWidth="1"/>
    <col min="30" max="30" width="15.6640625" style="438" hidden="1" customWidth="1"/>
    <col min="31" max="31" width="5.6640625" style="438" hidden="1" customWidth="1"/>
    <col min="32" max="32" width="11.83203125" style="437" hidden="1" customWidth="1"/>
    <col min="33" max="34" width="7.5" style="437" hidden="1" customWidth="1"/>
    <col min="35" max="35" width="28.1640625" style="439" hidden="1" customWidth="1"/>
    <col min="36" max="36" width="10.5" style="438" hidden="1" customWidth="1"/>
    <col min="37" max="37" width="11.5" style="438" hidden="1" customWidth="1"/>
    <col min="38" max="38" width="11.5" style="440" hidden="1" customWidth="1"/>
    <col min="39" max="41" width="11.5" style="437" hidden="1" customWidth="1"/>
    <col min="42" max="260" width="11.5" style="1" customWidth="1"/>
    <col min="261" max="16384" width="8.83203125" style="1"/>
  </cols>
  <sheetData>
    <row r="1" spans="1:41" ht="16">
      <c r="A1" s="234"/>
      <c r="B1" s="235" t="s">
        <v>55</v>
      </c>
      <c r="C1" s="236">
        <v>21</v>
      </c>
      <c r="F1" s="316"/>
      <c r="G1" s="317"/>
      <c r="H1" s="318"/>
      <c r="I1" s="319" t="s">
        <v>120</v>
      </c>
      <c r="J1" s="320">
        <f>SUM(AG:AG)/1000</f>
        <v>0</v>
      </c>
      <c r="K1" s="321" t="s">
        <v>119</v>
      </c>
      <c r="L1" s="322"/>
      <c r="O1" s="246"/>
      <c r="P1" s="245" t="s">
        <v>616</v>
      </c>
      <c r="Q1" s="214"/>
      <c r="R1" s="246" t="s">
        <v>617</v>
      </c>
      <c r="S1" s="245" t="s">
        <v>619</v>
      </c>
      <c r="T1" s="245" t="s">
        <v>618</v>
      </c>
    </row>
    <row r="2" spans="1:41" ht="16">
      <c r="A2" s="234"/>
      <c r="B2" s="235" t="s">
        <v>56</v>
      </c>
      <c r="C2" s="236">
        <v>-2</v>
      </c>
      <c r="F2" s="323"/>
      <c r="G2" s="324"/>
      <c r="H2" s="325"/>
      <c r="I2" s="326" t="s">
        <v>126</v>
      </c>
      <c r="J2" s="327">
        <f>IF(ISERROR(J1*(1+$C$3)),"",(J1*(1+$C$3)))</f>
        <v>0</v>
      </c>
      <c r="K2" s="328" t="s">
        <v>118</v>
      </c>
      <c r="L2" s="329"/>
      <c r="O2" s="246">
        <f>B18</f>
        <v>0</v>
      </c>
      <c r="P2" s="247">
        <f>Z22-Z21</f>
        <v>0</v>
      </c>
      <c r="Q2" s="214"/>
      <c r="R2" s="247">
        <f>Z21</f>
        <v>0</v>
      </c>
      <c r="S2" s="247">
        <f>SUM(P2:R2)</f>
        <v>0</v>
      </c>
      <c r="T2" s="247">
        <f>Z23</f>
        <v>0</v>
      </c>
    </row>
    <row r="3" spans="1:41" ht="16">
      <c r="A3" s="234"/>
      <c r="B3" s="235" t="s">
        <v>57</v>
      </c>
      <c r="C3" s="237">
        <v>0.3</v>
      </c>
      <c r="F3" s="323"/>
      <c r="G3" s="324"/>
      <c r="H3" s="325"/>
      <c r="I3" s="330" t="s">
        <v>126</v>
      </c>
      <c r="J3" s="331">
        <f>J2+K10</f>
        <v>0</v>
      </c>
      <c r="K3" s="328" t="s">
        <v>125</v>
      </c>
      <c r="L3" s="329"/>
      <c r="O3" s="246">
        <f>B26</f>
        <v>0</v>
      </c>
      <c r="P3" s="247">
        <f>Z30-Z29</f>
        <v>0</v>
      </c>
      <c r="Q3" s="214"/>
      <c r="R3" s="247">
        <f>Z29</f>
        <v>0</v>
      </c>
      <c r="S3" s="247">
        <f>SUM(P3:R3)</f>
        <v>0</v>
      </c>
      <c r="T3" s="247">
        <f>Z31</f>
        <v>0</v>
      </c>
    </row>
    <row r="4" spans="1:41">
      <c r="A4" s="234"/>
      <c r="B4" s="235" t="s">
        <v>58</v>
      </c>
      <c r="C4" s="238">
        <v>2.4</v>
      </c>
      <c r="F4" s="323"/>
      <c r="G4" s="324"/>
      <c r="H4" s="325"/>
      <c r="I4" s="324"/>
      <c r="J4" s="332" t="str">
        <f>IF(C13="","",(J3*1000/J6))</f>
        <v/>
      </c>
      <c r="K4" s="324"/>
      <c r="L4" s="329"/>
      <c r="O4" s="246">
        <f>B34</f>
        <v>0</v>
      </c>
      <c r="P4" s="247">
        <f>Z38-Z37</f>
        <v>0</v>
      </c>
      <c r="Q4" s="214"/>
      <c r="R4" s="247">
        <f>Z37</f>
        <v>0</v>
      </c>
      <c r="S4" s="247">
        <f t="shared" ref="S4:S11" si="0">SUM(P4:R4)</f>
        <v>0</v>
      </c>
      <c r="T4" s="247">
        <f>Z39</f>
        <v>0</v>
      </c>
    </row>
    <row r="5" spans="1:41">
      <c r="A5" s="234"/>
      <c r="B5" s="235"/>
      <c r="C5" s="238"/>
      <c r="F5" s="323"/>
      <c r="G5" s="324"/>
      <c r="H5" s="325"/>
      <c r="I5" s="333" t="s">
        <v>168</v>
      </c>
      <c r="J5" s="334">
        <f>SUM(AO:AO)</f>
        <v>0</v>
      </c>
      <c r="K5" s="324"/>
      <c r="L5" s="329"/>
      <c r="O5" s="246">
        <f>B42</f>
        <v>0</v>
      </c>
      <c r="P5" s="247">
        <f>Z46-Z45</f>
        <v>0</v>
      </c>
      <c r="Q5" s="214"/>
      <c r="R5" s="247">
        <f>Z45</f>
        <v>0</v>
      </c>
      <c r="S5" s="247">
        <f t="shared" si="0"/>
        <v>0</v>
      </c>
      <c r="T5" s="247">
        <f>Z47</f>
        <v>0</v>
      </c>
    </row>
    <row r="6" spans="1:41">
      <c r="F6" s="335"/>
      <c r="G6" s="336"/>
      <c r="H6" s="337"/>
      <c r="I6" s="338" t="s">
        <v>169</v>
      </c>
      <c r="J6" s="339">
        <f>SUM(AB:AB)</f>
        <v>0</v>
      </c>
      <c r="K6" s="336"/>
      <c r="L6" s="340"/>
      <c r="O6" s="246">
        <f>B50</f>
        <v>0</v>
      </c>
      <c r="P6" s="247">
        <f>Z54-Z53</f>
        <v>0</v>
      </c>
      <c r="Q6" s="214"/>
      <c r="R6" s="247">
        <f>Z53</f>
        <v>0</v>
      </c>
      <c r="S6" s="247">
        <f t="shared" si="0"/>
        <v>0</v>
      </c>
      <c r="T6" s="247">
        <f>Z55</f>
        <v>0</v>
      </c>
    </row>
    <row r="7" spans="1:41">
      <c r="O7" s="246">
        <f>B58</f>
        <v>0</v>
      </c>
      <c r="P7" s="247">
        <f>Z62-Z61</f>
        <v>0</v>
      </c>
      <c r="Q7" s="214"/>
      <c r="R7" s="247">
        <f>Z61</f>
        <v>0</v>
      </c>
      <c r="S7" s="247">
        <f t="shared" si="0"/>
        <v>0</v>
      </c>
      <c r="T7" s="247">
        <f>Z63</f>
        <v>0</v>
      </c>
    </row>
    <row r="8" spans="1:41">
      <c r="J8" s="239" t="s">
        <v>122</v>
      </c>
      <c r="K8" s="240"/>
      <c r="O8" s="246">
        <f>B66</f>
        <v>0</v>
      </c>
      <c r="P8" s="247">
        <f>Z70-Z69</f>
        <v>0</v>
      </c>
      <c r="Q8" s="214"/>
      <c r="R8" s="247">
        <f>Z69</f>
        <v>0</v>
      </c>
      <c r="S8" s="247">
        <f t="shared" si="0"/>
        <v>0</v>
      </c>
      <c r="T8" s="247">
        <f>Z71</f>
        <v>0</v>
      </c>
    </row>
    <row r="9" spans="1:41">
      <c r="J9" s="241" t="s">
        <v>123</v>
      </c>
      <c r="K9" s="242">
        <v>2</v>
      </c>
      <c r="O9" s="246">
        <f>B74</f>
        <v>0</v>
      </c>
      <c r="P9" s="247">
        <f>Z78-Z77</f>
        <v>0</v>
      </c>
      <c r="Q9" s="214"/>
      <c r="R9" s="247">
        <f>Z77</f>
        <v>0</v>
      </c>
      <c r="S9" s="247">
        <f t="shared" si="0"/>
        <v>0</v>
      </c>
      <c r="T9" s="247">
        <f>Z79</f>
        <v>0</v>
      </c>
    </row>
    <row r="10" spans="1:41" ht="16">
      <c r="J10" s="243" t="s">
        <v>124</v>
      </c>
      <c r="K10" s="244">
        <f>K8*4.2*55/(K9*3600)</f>
        <v>0</v>
      </c>
      <c r="O10" s="246">
        <f>B82</f>
        <v>0</v>
      </c>
      <c r="P10" s="247">
        <f>Z86-Z85</f>
        <v>0</v>
      </c>
      <c r="Q10" s="214"/>
      <c r="R10" s="247">
        <f>Z85</f>
        <v>0</v>
      </c>
      <c r="S10" s="247">
        <f t="shared" si="0"/>
        <v>0</v>
      </c>
      <c r="T10" s="247">
        <f>Z87</f>
        <v>0</v>
      </c>
    </row>
    <row r="11" spans="1:41">
      <c r="H11" s="68"/>
      <c r="I11" s="44"/>
      <c r="O11" s="246">
        <f>B90</f>
        <v>0</v>
      </c>
      <c r="P11" s="247">
        <f>Z94-Z93</f>
        <v>0</v>
      </c>
      <c r="Q11" s="214"/>
      <c r="R11" s="247">
        <f>Z93</f>
        <v>0</v>
      </c>
      <c r="S11" s="247">
        <f t="shared" si="0"/>
        <v>0</v>
      </c>
      <c r="T11" s="247">
        <f>Z95</f>
        <v>0</v>
      </c>
    </row>
    <row r="12" spans="1:41" ht="14" thickBot="1">
      <c r="H12" s="68"/>
      <c r="I12" s="44"/>
      <c r="O12" s="246"/>
      <c r="P12" s="245"/>
      <c r="Q12" s="214"/>
      <c r="R12" s="245"/>
      <c r="S12" s="245"/>
      <c r="T12" s="245"/>
    </row>
    <row r="13" spans="1:41" s="7" customFormat="1" ht="16">
      <c r="A13" s="163"/>
      <c r="B13" s="73" t="s">
        <v>12</v>
      </c>
      <c r="C13" s="491"/>
      <c r="D13" s="491"/>
      <c r="E13" s="491"/>
      <c r="F13" s="491"/>
      <c r="G13" s="492"/>
      <c r="H13" s="69"/>
      <c r="L13" s="57"/>
      <c r="M13" s="57"/>
      <c r="Q13" s="229"/>
      <c r="AB13" s="441"/>
      <c r="AC13" s="442"/>
      <c r="AD13" s="443"/>
      <c r="AE13" s="443"/>
      <c r="AF13" s="442"/>
      <c r="AG13" s="442"/>
      <c r="AH13" s="442"/>
      <c r="AI13" s="444"/>
      <c r="AJ13" s="443"/>
      <c r="AK13" s="443"/>
      <c r="AL13" s="440"/>
      <c r="AM13" s="442"/>
      <c r="AN13" s="442"/>
      <c r="AO13" s="442"/>
    </row>
    <row r="14" spans="1:41" s="7" customFormat="1" ht="16">
      <c r="A14" s="164"/>
      <c r="B14" s="74" t="s">
        <v>13</v>
      </c>
      <c r="C14" s="493"/>
      <c r="D14" s="493"/>
      <c r="E14" s="493"/>
      <c r="F14" s="493"/>
      <c r="G14" s="494"/>
      <c r="H14" s="69"/>
      <c r="L14" s="57"/>
      <c r="M14" s="57"/>
      <c r="Q14" s="229"/>
      <c r="AB14" s="441"/>
      <c r="AC14" s="442"/>
      <c r="AD14" s="443"/>
      <c r="AE14" s="443"/>
      <c r="AF14" s="442"/>
      <c r="AG14" s="442"/>
      <c r="AH14" s="442"/>
      <c r="AI14" s="444"/>
      <c r="AJ14" s="443"/>
      <c r="AK14" s="443"/>
      <c r="AL14" s="440"/>
      <c r="AM14" s="442"/>
      <c r="AN14" s="442"/>
      <c r="AO14" s="442"/>
    </row>
    <row r="15" spans="1:41" s="7" customFormat="1" ht="17" thickBot="1">
      <c r="A15" s="165"/>
      <c r="B15" s="75" t="s">
        <v>121</v>
      </c>
      <c r="C15" s="411"/>
      <c r="D15" s="411"/>
      <c r="E15" s="411"/>
      <c r="F15" s="411"/>
      <c r="G15" s="412"/>
      <c r="H15" s="69"/>
      <c r="L15" s="57"/>
      <c r="M15" s="57"/>
      <c r="Q15" s="229"/>
      <c r="AB15" s="441"/>
      <c r="AC15" s="442"/>
      <c r="AD15" s="443"/>
      <c r="AE15" s="443"/>
      <c r="AF15" s="442"/>
      <c r="AG15" s="442"/>
      <c r="AH15" s="442"/>
      <c r="AI15" s="444"/>
      <c r="AJ15" s="443"/>
      <c r="AK15" s="443"/>
      <c r="AL15" s="440"/>
      <c r="AM15" s="442"/>
      <c r="AN15" s="442"/>
      <c r="AO15" s="442"/>
    </row>
    <row r="16" spans="1:41" s="5" customFormat="1" ht="14" thickBot="1">
      <c r="A16" s="1"/>
      <c r="E16" s="3"/>
      <c r="F16" s="223">
        <f>F19*F20+F27*F28+F35*F36+F43*F44+F51*F52+F59*F60+F67*F68+F75*F76+F83*F84</f>
        <v>0</v>
      </c>
      <c r="G16" s="3"/>
      <c r="H16" s="64"/>
      <c r="L16" s="56"/>
      <c r="M16" s="56"/>
      <c r="N16" s="223">
        <f>N22+N30+N38+N46+N54+N62+N70+N78+N86</f>
        <v>0</v>
      </c>
      <c r="Q16" s="230"/>
      <c r="AB16" s="445"/>
      <c r="AC16" s="439"/>
      <c r="AD16" s="438"/>
      <c r="AE16" s="438"/>
      <c r="AF16" s="439"/>
      <c r="AG16" s="439"/>
      <c r="AH16" s="439"/>
      <c r="AI16" s="439"/>
      <c r="AJ16" s="438"/>
      <c r="AK16" s="438"/>
      <c r="AL16" s="440"/>
      <c r="AM16" s="439"/>
      <c r="AN16" s="439"/>
      <c r="AO16" s="439"/>
    </row>
    <row r="17" spans="1:41" s="21" customFormat="1" ht="14" thickBot="1">
      <c r="A17" s="166" t="s">
        <v>35</v>
      </c>
      <c r="B17" s="35" t="s">
        <v>7</v>
      </c>
      <c r="C17" s="495" t="s">
        <v>36</v>
      </c>
      <c r="D17" s="496"/>
      <c r="E17" s="495" t="s">
        <v>5</v>
      </c>
      <c r="F17" s="497"/>
      <c r="G17" s="37" t="s">
        <v>10</v>
      </c>
      <c r="H17" s="70"/>
      <c r="I17" s="36"/>
      <c r="J17" s="36"/>
      <c r="K17" s="37" t="s">
        <v>19</v>
      </c>
      <c r="L17" s="226" t="s">
        <v>602</v>
      </c>
      <c r="M17" s="226" t="s">
        <v>1</v>
      </c>
      <c r="N17" s="39" t="s">
        <v>603</v>
      </c>
      <c r="O17" s="40" t="s">
        <v>4</v>
      </c>
      <c r="P17" s="41" t="s">
        <v>3</v>
      </c>
      <c r="Q17" s="231"/>
      <c r="R17" s="37" t="s">
        <v>33</v>
      </c>
      <c r="S17" s="38"/>
      <c r="T17" s="36"/>
      <c r="U17" s="162"/>
      <c r="V17" s="36"/>
      <c r="W17" s="36"/>
      <c r="X17" s="37" t="s">
        <v>24</v>
      </c>
      <c r="Y17" s="36"/>
      <c r="Z17" s="42"/>
      <c r="AB17" s="446"/>
      <c r="AC17" s="447"/>
      <c r="AD17" s="448"/>
      <c r="AE17" s="502">
        <f>B18</f>
        <v>0</v>
      </c>
      <c r="AF17" s="449" t="s">
        <v>285</v>
      </c>
      <c r="AG17" s="450" t="str">
        <f>J21</f>
        <v>0</v>
      </c>
      <c r="AH17" s="451" t="str">
        <f>J20</f>
        <v/>
      </c>
      <c r="AI17" s="452">
        <f>J18</f>
        <v>0</v>
      </c>
      <c r="AJ17" s="453" t="str">
        <f>IF(B18="","",VLOOKUP(AI17,Properties!$B:$E,3,FALSE))</f>
        <v/>
      </c>
      <c r="AK17" s="454" t="str">
        <f>IF(B18="","",VLOOKUP(AI17,Properties!B:E,4,FALSE))</f>
        <v/>
      </c>
      <c r="AL17" s="455">
        <v>0.2</v>
      </c>
      <c r="AM17" s="456">
        <f>($C$1-$C$2)/2</f>
        <v>11.5</v>
      </c>
      <c r="AN17" s="457" t="str">
        <f>IF(B18="","",($AH17*AL17*AK17*AJ17*AM17/3600))</f>
        <v/>
      </c>
      <c r="AO17" s="458"/>
    </row>
    <row r="18" spans="1:41" s="7" customFormat="1" ht="14">
      <c r="A18" s="167"/>
      <c r="B18" s="222"/>
      <c r="C18" s="11" t="s">
        <v>17</v>
      </c>
      <c r="D18" s="16" t="s">
        <v>18</v>
      </c>
      <c r="E18" s="8" t="s">
        <v>602</v>
      </c>
      <c r="F18" s="65"/>
      <c r="G18" s="8" t="s">
        <v>602</v>
      </c>
      <c r="H18" s="69"/>
      <c r="I18" s="6" t="s">
        <v>39</v>
      </c>
      <c r="J18" s="224"/>
      <c r="K18" s="11" t="s">
        <v>20</v>
      </c>
      <c r="L18" s="57"/>
      <c r="M18" s="57"/>
      <c r="N18" s="4"/>
      <c r="O18" s="224"/>
      <c r="P18" s="54" t="str">
        <f>IF(O18="","",VLOOKUP(O18,Properties!$B:$E,2,FALSE))</f>
        <v/>
      </c>
      <c r="Q18" s="232" t="e">
        <f>L18*M18*N18*P18*(C$19-D$19)</f>
        <v>#VALUE!</v>
      </c>
      <c r="R18" s="29" t="s">
        <v>29</v>
      </c>
      <c r="S18" s="30"/>
      <c r="T18" s="31" t="s">
        <v>37</v>
      </c>
      <c r="U18" s="486">
        <f>C19-D19</f>
        <v>23</v>
      </c>
      <c r="V18" s="498"/>
      <c r="W18" s="499"/>
      <c r="X18" s="19" t="s">
        <v>14</v>
      </c>
      <c r="Y18" s="22"/>
      <c r="Z18" s="25">
        <f>IF(ISERROR((((F18*F19*F20*Y18)/3600)*1020*(C19-D19)/0.78)),"0",(((F18*F19*F20*Y18)/3600)*1020*(C19-D19)/0.78))</f>
        <v>0</v>
      </c>
      <c r="AA18" s="43" t="str">
        <f>IF(ISERROR(Z18/$Z22),"",(Z18/$Z22))</f>
        <v/>
      </c>
      <c r="AB18" s="459"/>
      <c r="AC18" s="447"/>
      <c r="AD18" s="443"/>
      <c r="AE18" s="502"/>
      <c r="AF18" s="460" t="s">
        <v>200</v>
      </c>
      <c r="AG18" s="461" t="str">
        <f>P22</f>
        <v>0</v>
      </c>
      <c r="AH18" s="462">
        <f>N22</f>
        <v>0</v>
      </c>
      <c r="AI18" s="463">
        <f>O18</f>
        <v>0</v>
      </c>
      <c r="AJ18" s="464" t="e">
        <f>VLOOKUP(AI18,Properties!$B:$E,3,FALSE)</f>
        <v>#N/A</v>
      </c>
      <c r="AK18" s="465" t="e">
        <f>VLOOKUP(AI18,Properties!B:E,4,FALSE)</f>
        <v>#N/A</v>
      </c>
      <c r="AL18" s="466">
        <v>1.2E-2</v>
      </c>
      <c r="AM18" s="467">
        <f>($C$1-$C$2)/2</f>
        <v>11.5</v>
      </c>
      <c r="AN18" s="468" t="e">
        <f>$AH18*AL18*AK18*AJ18*AM18/3600</f>
        <v>#N/A</v>
      </c>
      <c r="AO18" s="442"/>
    </row>
    <row r="19" spans="1:41" s="7" customFormat="1" ht="14">
      <c r="B19" s="6"/>
      <c r="C19" s="46">
        <f>$C$1</f>
        <v>21</v>
      </c>
      <c r="D19" s="47">
        <f>$C$2</f>
        <v>-2</v>
      </c>
      <c r="E19" s="8" t="s">
        <v>1</v>
      </c>
      <c r="F19" s="57"/>
      <c r="G19" s="8" t="s">
        <v>1</v>
      </c>
      <c r="H19" s="69"/>
      <c r="I19" s="6" t="s">
        <v>3</v>
      </c>
      <c r="J19" s="54" t="str">
        <f>IF(J18="","",VLOOKUP(J18,Properties!$B:$E,2,FALSE))</f>
        <v/>
      </c>
      <c r="K19" s="11" t="s">
        <v>21</v>
      </c>
      <c r="L19" s="57"/>
      <c r="M19" s="57"/>
      <c r="N19" s="4"/>
      <c r="O19" s="33"/>
      <c r="P19" s="54" t="str">
        <f>IF(O19="","",VLOOKUP(O19,Properties!$B:$E,2,FALSE))</f>
        <v/>
      </c>
      <c r="Q19" s="232" t="str">
        <f>IF(ISERROR((L19*M19*N19*P19*(C$19-D$19))),"",((L19*M19*N19*P19*(C$19-D$19))))</f>
        <v/>
      </c>
      <c r="R19" s="8" t="s">
        <v>0</v>
      </c>
      <c r="S19" s="152">
        <f>F20</f>
        <v>0</v>
      </c>
      <c r="T19" s="6"/>
      <c r="U19" s="487"/>
      <c r="V19" s="148" t="str">
        <f>IF(V18="","",VLOOKUP(V18,Properties!$B:$E,2,FALSE))</f>
        <v/>
      </c>
      <c r="W19" s="149" t="str">
        <f>IF(ISERROR(W20/$Z22),"",(W20/$Z22))</f>
        <v/>
      </c>
      <c r="X19" s="19" t="s">
        <v>15</v>
      </c>
      <c r="Y19" s="23"/>
      <c r="Z19" s="25">
        <f>(Y19/0.78)*1020*(C19-D19)*(1-Y20)</f>
        <v>0</v>
      </c>
      <c r="AA19" s="43" t="str">
        <f>IF(ISERROR(Z18/$Z22),"",(Z18/$Z22))</f>
        <v/>
      </c>
      <c r="AB19" s="459"/>
      <c r="AC19" s="469"/>
      <c r="AD19" s="443"/>
      <c r="AE19" s="502"/>
      <c r="AF19" s="460" t="s">
        <v>299</v>
      </c>
      <c r="AG19" s="461">
        <f>Z18</f>
        <v>0</v>
      </c>
      <c r="AH19" s="462"/>
      <c r="AI19" s="463"/>
      <c r="AJ19" s="463"/>
      <c r="AK19" s="463"/>
      <c r="AL19" s="463"/>
      <c r="AM19" s="463"/>
      <c r="AN19" s="470"/>
      <c r="AO19" s="442"/>
    </row>
    <row r="20" spans="1:41" s="2" customFormat="1" ht="14">
      <c r="B20" s="3"/>
      <c r="E20" s="15" t="s">
        <v>0</v>
      </c>
      <c r="F20" s="66"/>
      <c r="G20" s="18"/>
      <c r="H20" s="59"/>
      <c r="I20" s="3" t="s">
        <v>2</v>
      </c>
      <c r="J20" s="225" t="str">
        <f>IF(J18="","",((H19*H18)-N22))</f>
        <v/>
      </c>
      <c r="K20" s="11" t="s">
        <v>22</v>
      </c>
      <c r="L20" s="57"/>
      <c r="M20" s="57"/>
      <c r="N20" s="4"/>
      <c r="O20" s="33"/>
      <c r="P20" s="54" t="str">
        <f>IF(O20="","",VLOOKUP(O20,Properties!$B:$E,2,FALSE))</f>
        <v/>
      </c>
      <c r="Q20" s="232" t="str">
        <f>IF(ISERROR((L20*M20*N20*P20*(C$19-D$19))),"",((L20*M20*N20*P20*(C$19-D$19))))</f>
        <v/>
      </c>
      <c r="R20" s="15" t="s">
        <v>1</v>
      </c>
      <c r="S20" s="153">
        <f>F19</f>
        <v>0</v>
      </c>
      <c r="T20" s="13">
        <f>(S19*S20)</f>
        <v>0</v>
      </c>
      <c r="U20" s="488"/>
      <c r="V20" s="48" t="s">
        <v>30</v>
      </c>
      <c r="W20" s="49" t="str">
        <f>IF(ISERROR(T20*V19*(U18)),"0",T20*V19*(U18))</f>
        <v>0</v>
      </c>
      <c r="X20" s="3" t="s">
        <v>25</v>
      </c>
      <c r="Y20" s="24">
        <v>0.5</v>
      </c>
      <c r="Z20" s="10"/>
      <c r="AB20" s="441"/>
      <c r="AC20" s="469"/>
      <c r="AD20" s="443"/>
      <c r="AE20" s="502"/>
      <c r="AF20" s="460" t="s">
        <v>300</v>
      </c>
      <c r="AG20" s="461">
        <f>Z19</f>
        <v>0</v>
      </c>
      <c r="AH20" s="462"/>
      <c r="AI20" s="463"/>
      <c r="AJ20" s="463"/>
      <c r="AK20" s="463"/>
      <c r="AL20" s="463"/>
      <c r="AM20" s="463"/>
      <c r="AN20" s="470"/>
      <c r="AO20" s="442"/>
    </row>
    <row r="21" spans="1:41" s="2" customFormat="1">
      <c r="B21" s="3"/>
      <c r="F21" s="59"/>
      <c r="G21" s="12"/>
      <c r="H21" s="58"/>
      <c r="I21" s="48" t="s">
        <v>28</v>
      </c>
      <c r="J21" s="49" t="str">
        <f>IF(J18="","0",(J20*J19*(C19-D19)))</f>
        <v>0</v>
      </c>
      <c r="K21" s="11" t="s">
        <v>23</v>
      </c>
      <c r="L21" s="57"/>
      <c r="M21" s="57"/>
      <c r="N21" s="4"/>
      <c r="O21" s="33"/>
      <c r="P21" s="54" t="str">
        <f>IF(O21="","",VLOOKUP(O21,Properties!$B:$E,2,FALSE))</f>
        <v/>
      </c>
      <c r="Q21" s="232" t="str">
        <f>IF(ISERROR((L21*M21*N21*P21*(C$19-D$19))),"",((L21*M21*N21*P21*(C$19-D$19))))</f>
        <v/>
      </c>
      <c r="R21" s="26" t="s">
        <v>6</v>
      </c>
      <c r="S21" s="154"/>
      <c r="T21" s="17" t="s">
        <v>38</v>
      </c>
      <c r="U21" s="486">
        <v>10</v>
      </c>
      <c r="V21" s="500"/>
      <c r="W21" s="501"/>
      <c r="X21" s="9"/>
      <c r="Y21" s="52" t="s">
        <v>26</v>
      </c>
      <c r="Z21" s="51">
        <f>Z18+Z19</f>
        <v>0</v>
      </c>
      <c r="AB21" s="441"/>
      <c r="AC21" s="469"/>
      <c r="AD21" s="443"/>
      <c r="AE21" s="502"/>
      <c r="AF21" s="460" t="s">
        <v>283</v>
      </c>
      <c r="AG21" s="461" t="str">
        <f>W20</f>
        <v>0</v>
      </c>
      <c r="AH21" s="462">
        <f>T20</f>
        <v>0</v>
      </c>
      <c r="AI21" s="463">
        <f>V18</f>
        <v>0</v>
      </c>
      <c r="AJ21" s="464" t="e">
        <f>VLOOKUP(AI21,Properties!$B:$E,3,FALSE)</f>
        <v>#N/A</v>
      </c>
      <c r="AK21" s="465" t="e">
        <f>VLOOKUP(AI21,Properties!B:E,4,FALSE)</f>
        <v>#N/A</v>
      </c>
      <c r="AL21" s="466">
        <v>0.3</v>
      </c>
      <c r="AM21" s="467">
        <f>($C$1-$C$2)/2</f>
        <v>11.5</v>
      </c>
      <c r="AN21" s="468" t="e">
        <f t="shared" ref="AN21:AN22" si="1">$AH21*AL21*AK21*AJ21*AM21/3600</f>
        <v>#N/A</v>
      </c>
      <c r="AO21" s="442"/>
    </row>
    <row r="22" spans="1:41" s="2" customFormat="1" ht="12.75" customHeight="1">
      <c r="B22" s="3"/>
      <c r="F22" s="59"/>
      <c r="H22" s="59"/>
      <c r="I22" s="14"/>
      <c r="J22" s="27" t="str">
        <f>IF(ISERROR(J21/$Z22),"",(J21/$Z22))</f>
        <v/>
      </c>
      <c r="K22" s="20" t="s">
        <v>8</v>
      </c>
      <c r="L22" s="58" t="s">
        <v>16</v>
      </c>
      <c r="M22" s="58" t="s">
        <v>9</v>
      </c>
      <c r="N22" s="227">
        <f>(L18*M18*N18)+(L19*M19*N19)+(L20*M20*N20)+(L21*M21*N21)</f>
        <v>0</v>
      </c>
      <c r="O22" s="50" t="s">
        <v>27</v>
      </c>
      <c r="P22" s="51" t="str">
        <f>IF(O18="","0",SUM(Q18:Q21))</f>
        <v>0</v>
      </c>
      <c r="Q22" s="233"/>
      <c r="R22" s="8" t="s">
        <v>0</v>
      </c>
      <c r="S22" s="152">
        <f>S19</f>
        <v>0</v>
      </c>
      <c r="T22" s="6" t="s">
        <v>3</v>
      </c>
      <c r="U22" s="487"/>
      <c r="V22" s="34" t="str">
        <f>IF(V21="","",VLOOKUP(V21,Properties!$B:$E,2,FALSE))</f>
        <v/>
      </c>
      <c r="W22" s="32" t="str">
        <f>IF(ISERROR(W23/$Z22),"",(W23/$Z22))</f>
        <v/>
      </c>
      <c r="X22" s="490" t="s">
        <v>32</v>
      </c>
      <c r="Y22" s="490"/>
      <c r="Z22" s="53">
        <f>IF(ISERROR(J21+P22+Z21+W20+W23),"",(J21+P22+Z21+W20+W23))</f>
        <v>0</v>
      </c>
      <c r="AA22" s="77" t="str">
        <f>IF(B18="","",(AA23*F18))</f>
        <v/>
      </c>
      <c r="AB22" s="471"/>
      <c r="AC22" s="472">
        <f>SUM(AG17:AG22)</f>
        <v>0</v>
      </c>
      <c r="AD22" s="443"/>
      <c r="AE22" s="502"/>
      <c r="AF22" s="473" t="s">
        <v>286</v>
      </c>
      <c r="AG22" s="474" t="str">
        <f>W23</f>
        <v>0</v>
      </c>
      <c r="AH22" s="475">
        <f>T23</f>
        <v>0</v>
      </c>
      <c r="AI22" s="476">
        <f>V21</f>
        <v>0</v>
      </c>
      <c r="AJ22" s="477" t="e">
        <f>VLOOKUP(AI22,Properties!$B:$E,3,FALSE)</f>
        <v>#N/A</v>
      </c>
      <c r="AK22" s="478" t="e">
        <f>VLOOKUP(AI22,Properties!B:E,4,FALSE)</f>
        <v>#N/A</v>
      </c>
      <c r="AL22" s="479">
        <v>0.3</v>
      </c>
      <c r="AM22" s="480">
        <f>($C$1-$C$2)/2</f>
        <v>11.5</v>
      </c>
      <c r="AN22" s="481" t="e">
        <f t="shared" si="1"/>
        <v>#N/A</v>
      </c>
      <c r="AO22" s="482"/>
    </row>
    <row r="23" spans="1:41" s="2" customFormat="1" ht="12.75" customHeight="1">
      <c r="B23" s="3"/>
      <c r="F23" s="59"/>
      <c r="H23" s="59"/>
      <c r="L23" s="59"/>
      <c r="M23" s="59"/>
      <c r="O23" s="55" t="str">
        <f>IF(ISERROR(100*N22/(H18*H19)),"",(100*N22/(H18*H19)))</f>
        <v/>
      </c>
      <c r="P23" s="28" t="str">
        <f>IF(ISERROR(P22/$Z22),"",(P22/$Z22))</f>
        <v/>
      </c>
      <c r="Q23" s="45"/>
      <c r="R23" s="15" t="s">
        <v>1</v>
      </c>
      <c r="S23" s="153">
        <f>S20</f>
        <v>0</v>
      </c>
      <c r="T23" s="13">
        <f>(S22*S23)</f>
        <v>0</v>
      </c>
      <c r="U23" s="488"/>
      <c r="V23" s="48" t="s">
        <v>34</v>
      </c>
      <c r="W23" s="49" t="str">
        <f>IF(ISERROR(T23*V22*(U21)),"0",T23*V22*(U21))</f>
        <v>0</v>
      </c>
      <c r="X23" s="489" t="s">
        <v>31</v>
      </c>
      <c r="Y23" s="489"/>
      <c r="Z23" s="53">
        <f>IF(ISERROR(Z22*(1+$C$3)),"",(Z22*(1+$C$3)))</f>
        <v>0</v>
      </c>
      <c r="AA23" s="76" t="str">
        <f>IF(B18="","",(Z23/(F18*F19*F20)))</f>
        <v/>
      </c>
      <c r="AB23" s="471">
        <f>F19*F20</f>
        <v>0</v>
      </c>
      <c r="AC23" s="442"/>
      <c r="AD23" s="443"/>
      <c r="AE23" s="443"/>
      <c r="AF23" s="483"/>
      <c r="AG23" s="483"/>
      <c r="AH23" s="483"/>
      <c r="AI23" s="484"/>
      <c r="AJ23" s="485"/>
      <c r="AK23" s="485"/>
      <c r="AL23" s="466"/>
      <c r="AM23" s="483"/>
      <c r="AN23" s="442"/>
      <c r="AO23" s="442"/>
    </row>
    <row r="24" spans="1:41" s="61" customFormat="1" ht="14" thickBot="1">
      <c r="B24" s="60"/>
      <c r="E24" s="62"/>
      <c r="F24" s="67"/>
      <c r="G24" s="62"/>
      <c r="H24" s="67"/>
      <c r="I24" s="62"/>
      <c r="J24" s="62"/>
      <c r="L24" s="63"/>
      <c r="M24" s="63"/>
      <c r="Q24" s="72"/>
      <c r="AB24" s="436"/>
      <c r="AC24" s="437"/>
      <c r="AD24" s="438"/>
      <c r="AE24" s="438"/>
      <c r="AF24" s="437"/>
      <c r="AG24" s="437"/>
      <c r="AH24" s="437"/>
      <c r="AI24" s="439"/>
      <c r="AJ24" s="438"/>
      <c r="AK24" s="438"/>
      <c r="AL24" s="438"/>
      <c r="AM24" s="437"/>
      <c r="AN24" s="437"/>
      <c r="AO24" s="437"/>
    </row>
    <row r="25" spans="1:41" s="21" customFormat="1" ht="14" thickBot="1">
      <c r="A25" s="166" t="s">
        <v>35</v>
      </c>
      <c r="B25" s="100" t="s">
        <v>7</v>
      </c>
      <c r="C25" s="495" t="s">
        <v>36</v>
      </c>
      <c r="D25" s="496"/>
      <c r="E25" s="495" t="s">
        <v>5</v>
      </c>
      <c r="F25" s="497"/>
      <c r="G25" s="37" t="s">
        <v>10</v>
      </c>
      <c r="H25" s="70"/>
      <c r="I25" s="101"/>
      <c r="J25" s="101"/>
      <c r="K25" s="37" t="s">
        <v>19</v>
      </c>
      <c r="L25" s="226" t="s">
        <v>602</v>
      </c>
      <c r="M25" s="226" t="s">
        <v>1</v>
      </c>
      <c r="N25" s="39" t="s">
        <v>603</v>
      </c>
      <c r="O25" s="40" t="s">
        <v>4</v>
      </c>
      <c r="P25" s="41" t="s">
        <v>3</v>
      </c>
      <c r="Q25" s="231"/>
      <c r="R25" s="37" t="s">
        <v>33</v>
      </c>
      <c r="S25" s="38"/>
      <c r="T25" s="101"/>
      <c r="U25" s="162"/>
      <c r="V25" s="101"/>
      <c r="W25" s="101"/>
      <c r="X25" s="37" t="s">
        <v>24</v>
      </c>
      <c r="Y25" s="101"/>
      <c r="Z25" s="42"/>
      <c r="AB25" s="446"/>
      <c r="AC25" s="447"/>
      <c r="AD25" s="448"/>
      <c r="AE25" s="502">
        <f>B26</f>
        <v>0</v>
      </c>
      <c r="AF25" s="449" t="s">
        <v>285</v>
      </c>
      <c r="AG25" s="450" t="str">
        <f>J29</f>
        <v>0</v>
      </c>
      <c r="AH25" s="451" t="str">
        <f>J28</f>
        <v/>
      </c>
      <c r="AI25" s="452">
        <f>J26</f>
        <v>0</v>
      </c>
      <c r="AJ25" s="453" t="str">
        <f>IF(B26="","",VLOOKUP(AI25,Properties!$B:$E,3,FALSE))</f>
        <v/>
      </c>
      <c r="AK25" s="454" t="str">
        <f>IF(B26="","",VLOOKUP(AI25,Properties!B:E,4,FALSE))</f>
        <v/>
      </c>
      <c r="AL25" s="455">
        <v>0.2</v>
      </c>
      <c r="AM25" s="456">
        <f>($C$1-$C$2)/2</f>
        <v>11.5</v>
      </c>
      <c r="AN25" s="457" t="str">
        <f>IF(B26="","",($AH25*AL25*AK25*AJ25*AM25/3600))</f>
        <v/>
      </c>
      <c r="AO25" s="458"/>
    </row>
    <row r="26" spans="1:41" s="7" customFormat="1" ht="14">
      <c r="A26" s="167"/>
      <c r="B26" s="222"/>
      <c r="C26" s="11" t="s">
        <v>17</v>
      </c>
      <c r="D26" s="16" t="s">
        <v>18</v>
      </c>
      <c r="E26" s="8" t="s">
        <v>602</v>
      </c>
      <c r="F26" s="65"/>
      <c r="G26" s="8" t="s">
        <v>602</v>
      </c>
      <c r="H26" s="69"/>
      <c r="I26" s="6" t="s">
        <v>39</v>
      </c>
      <c r="J26" s="224"/>
      <c r="K26" s="11" t="s">
        <v>20</v>
      </c>
      <c r="L26" s="57"/>
      <c r="M26" s="57"/>
      <c r="N26" s="4"/>
      <c r="O26" s="224"/>
      <c r="P26" s="54" t="str">
        <f>IF(O26="","",VLOOKUP(O26,Properties!$B:$E,2,FALSE))</f>
        <v/>
      </c>
      <c r="Q26" s="232" t="e">
        <f>L26*M26*N26*P26*(C$19-D$19)</f>
        <v>#VALUE!</v>
      </c>
      <c r="R26" s="29" t="s">
        <v>29</v>
      </c>
      <c r="S26" s="30"/>
      <c r="T26" s="31" t="s">
        <v>37</v>
      </c>
      <c r="U26" s="486">
        <f>C27-D27</f>
        <v>23</v>
      </c>
      <c r="V26" s="498"/>
      <c r="W26" s="499"/>
      <c r="X26" s="19" t="s">
        <v>14</v>
      </c>
      <c r="Y26" s="22"/>
      <c r="Z26" s="25">
        <f>IF(ISERROR((((F26*F27*F28*Y26)/3600)*1020*(C27-D27)/0.78)),"0",(((F26*F27*F28*Y26)/3600)*1020*(C27-D27)/0.78))</f>
        <v>0</v>
      </c>
      <c r="AA26" s="43" t="str">
        <f>IF(ISERROR(Z26/$Z30),"",(Z26/$Z30))</f>
        <v/>
      </c>
      <c r="AB26" s="459"/>
      <c r="AC26" s="447"/>
      <c r="AD26" s="443"/>
      <c r="AE26" s="502"/>
      <c r="AF26" s="460" t="s">
        <v>200</v>
      </c>
      <c r="AG26" s="461" t="str">
        <f>P30</f>
        <v>0</v>
      </c>
      <c r="AH26" s="462">
        <f>N30</f>
        <v>0</v>
      </c>
      <c r="AI26" s="463">
        <f>O26</f>
        <v>0</v>
      </c>
      <c r="AJ26" s="464" t="e">
        <f>VLOOKUP(AI26,Properties!$B:$E,3,FALSE)</f>
        <v>#N/A</v>
      </c>
      <c r="AK26" s="465" t="e">
        <f>VLOOKUP(AI26,Properties!B:E,4,FALSE)</f>
        <v>#N/A</v>
      </c>
      <c r="AL26" s="466">
        <v>1.2E-2</v>
      </c>
      <c r="AM26" s="467">
        <f>($C$1-$C$2)/2</f>
        <v>11.5</v>
      </c>
      <c r="AN26" s="468" t="e">
        <f>$AH26*AL26*AK26*AJ26*AM26/3600</f>
        <v>#N/A</v>
      </c>
      <c r="AO26" s="442"/>
    </row>
    <row r="27" spans="1:41" s="7" customFormat="1" ht="14">
      <c r="B27" s="6"/>
      <c r="C27" s="46">
        <f>$C$1</f>
        <v>21</v>
      </c>
      <c r="D27" s="47">
        <f>$C$2</f>
        <v>-2</v>
      </c>
      <c r="E27" s="8" t="s">
        <v>1</v>
      </c>
      <c r="F27" s="57"/>
      <c r="G27" s="8" t="s">
        <v>1</v>
      </c>
      <c r="H27" s="69"/>
      <c r="I27" s="6" t="s">
        <v>3</v>
      </c>
      <c r="J27" s="54" t="str">
        <f>IF(J26="","",VLOOKUP(J26,Properties!$B:$E,2,FALSE))</f>
        <v/>
      </c>
      <c r="K27" s="11" t="s">
        <v>21</v>
      </c>
      <c r="L27" s="57"/>
      <c r="M27" s="57"/>
      <c r="N27" s="4"/>
      <c r="O27" s="33"/>
      <c r="P27" s="54" t="str">
        <f>IF(O27="","",VLOOKUP(O27,Properties!$B:$E,2,FALSE))</f>
        <v/>
      </c>
      <c r="Q27" s="232" t="str">
        <f>IF(ISERROR((L27*M27*N27*P27*(C$19-D$19))),"",((L27*M27*N27*P27*(C$19-D$19))))</f>
        <v/>
      </c>
      <c r="R27" s="8" t="s">
        <v>0</v>
      </c>
      <c r="S27" s="152">
        <f>F28</f>
        <v>0</v>
      </c>
      <c r="T27" s="6"/>
      <c r="U27" s="487"/>
      <c r="V27" s="148" t="str">
        <f>IF(V26="","",VLOOKUP(V26,Properties!$B:$E,2,FALSE))</f>
        <v/>
      </c>
      <c r="W27" s="149" t="str">
        <f>IF(ISERROR(W28/$Z30),"",(W28/$Z30))</f>
        <v/>
      </c>
      <c r="X27" s="19" t="s">
        <v>15</v>
      </c>
      <c r="Y27" s="23"/>
      <c r="Z27" s="25">
        <f>(Y27/0.78)*1020*(C27-D27)*(1-Y28)</f>
        <v>0</v>
      </c>
      <c r="AA27" s="43" t="str">
        <f>IF(ISERROR(Z26/$Z30),"",(Z26/$Z30))</f>
        <v/>
      </c>
      <c r="AB27" s="459"/>
      <c r="AC27" s="469"/>
      <c r="AD27" s="443"/>
      <c r="AE27" s="502"/>
      <c r="AF27" s="460" t="s">
        <v>299</v>
      </c>
      <c r="AG27" s="461">
        <f>Z26</f>
        <v>0</v>
      </c>
      <c r="AH27" s="462"/>
      <c r="AI27" s="463"/>
      <c r="AJ27" s="463"/>
      <c r="AK27" s="463"/>
      <c r="AL27" s="463"/>
      <c r="AM27" s="463"/>
      <c r="AN27" s="470"/>
      <c r="AO27" s="442"/>
    </row>
    <row r="28" spans="1:41" s="2" customFormat="1" ht="14">
      <c r="B28" s="3"/>
      <c r="E28" s="15" t="s">
        <v>0</v>
      </c>
      <c r="F28" s="66"/>
      <c r="G28" s="18"/>
      <c r="H28" s="59"/>
      <c r="I28" s="3" t="s">
        <v>2</v>
      </c>
      <c r="J28" s="225" t="str">
        <f>IF(J26="","",((H27*H26)-N30))</f>
        <v/>
      </c>
      <c r="K28" s="11" t="s">
        <v>22</v>
      </c>
      <c r="L28" s="57"/>
      <c r="M28" s="57"/>
      <c r="N28" s="4"/>
      <c r="O28" s="33"/>
      <c r="P28" s="54" t="str">
        <f>IF(O28="","",VLOOKUP(O28,Properties!$B:$E,2,FALSE))</f>
        <v/>
      </c>
      <c r="Q28" s="232" t="str">
        <f>IF(ISERROR((L28*M28*N28*P28*(C$19-D$19))),"",((L28*M28*N28*P28*(C$19-D$19))))</f>
        <v/>
      </c>
      <c r="R28" s="15" t="s">
        <v>1</v>
      </c>
      <c r="S28" s="153">
        <f>F27</f>
        <v>0</v>
      </c>
      <c r="T28" s="13">
        <f>(S27*S28)</f>
        <v>0</v>
      </c>
      <c r="U28" s="488"/>
      <c r="V28" s="48" t="s">
        <v>30</v>
      </c>
      <c r="W28" s="49" t="str">
        <f>IF(ISERROR(T28*V27*(U26)),"0",T28*V27*(U26))</f>
        <v>0</v>
      </c>
      <c r="X28" s="3" t="s">
        <v>25</v>
      </c>
      <c r="Y28" s="24">
        <v>0.5</v>
      </c>
      <c r="Z28" s="10"/>
      <c r="AB28" s="441"/>
      <c r="AC28" s="469"/>
      <c r="AD28" s="443"/>
      <c r="AE28" s="502"/>
      <c r="AF28" s="460" t="s">
        <v>300</v>
      </c>
      <c r="AG28" s="461">
        <f>Z27</f>
        <v>0</v>
      </c>
      <c r="AH28" s="462"/>
      <c r="AI28" s="463"/>
      <c r="AJ28" s="463"/>
      <c r="AK28" s="463"/>
      <c r="AL28" s="463"/>
      <c r="AM28" s="463"/>
      <c r="AN28" s="470"/>
      <c r="AO28" s="442"/>
    </row>
    <row r="29" spans="1:41" s="2" customFormat="1">
      <c r="B29" s="3"/>
      <c r="F29" s="59"/>
      <c r="G29" s="12"/>
      <c r="H29" s="58"/>
      <c r="I29" s="48" t="s">
        <v>28</v>
      </c>
      <c r="J29" s="49" t="str">
        <f>IF(J26="","0",(J28*J27*(C27-D27)))</f>
        <v>0</v>
      </c>
      <c r="K29" s="11" t="s">
        <v>23</v>
      </c>
      <c r="L29" s="57"/>
      <c r="M29" s="57"/>
      <c r="N29" s="4"/>
      <c r="O29" s="33"/>
      <c r="P29" s="54" t="str">
        <f>IF(O29="","",VLOOKUP(O29,Properties!$B:$E,2,FALSE))</f>
        <v/>
      </c>
      <c r="Q29" s="232" t="str">
        <f>IF(ISERROR((L29*M29*N29*P29*(C$19-D$19))),"",((L29*M29*N29*P29*(C$19-D$19))))</f>
        <v/>
      </c>
      <c r="R29" s="26" t="s">
        <v>6</v>
      </c>
      <c r="S29" s="154"/>
      <c r="T29" s="17" t="s">
        <v>38</v>
      </c>
      <c r="U29" s="486">
        <v>10</v>
      </c>
      <c r="V29" s="500"/>
      <c r="W29" s="501"/>
      <c r="X29" s="9"/>
      <c r="Y29" s="52" t="s">
        <v>26</v>
      </c>
      <c r="Z29" s="51">
        <f>Z26+Z27</f>
        <v>0</v>
      </c>
      <c r="AB29" s="441"/>
      <c r="AC29" s="469"/>
      <c r="AD29" s="443"/>
      <c r="AE29" s="502"/>
      <c r="AF29" s="460" t="s">
        <v>283</v>
      </c>
      <c r="AG29" s="461" t="str">
        <f>W28</f>
        <v>0</v>
      </c>
      <c r="AH29" s="462">
        <f>T28</f>
        <v>0</v>
      </c>
      <c r="AI29" s="463">
        <f>V26</f>
        <v>0</v>
      </c>
      <c r="AJ29" s="464" t="e">
        <f>VLOOKUP(AI29,Properties!$B:$E,3,FALSE)</f>
        <v>#N/A</v>
      </c>
      <c r="AK29" s="465" t="e">
        <f>VLOOKUP(AI29,Properties!B:E,4,FALSE)</f>
        <v>#N/A</v>
      </c>
      <c r="AL29" s="466">
        <v>0.3</v>
      </c>
      <c r="AM29" s="467">
        <f>($C$1-$C$2)/2</f>
        <v>11.5</v>
      </c>
      <c r="AN29" s="468" t="e">
        <f t="shared" ref="AN29:AN30" si="2">$AH29*AL29*AK29*AJ29*AM29/3600</f>
        <v>#N/A</v>
      </c>
      <c r="AO29" s="442"/>
    </row>
    <row r="30" spans="1:41" s="2" customFormat="1" ht="12.75" customHeight="1">
      <c r="B30" s="3"/>
      <c r="F30" s="59"/>
      <c r="H30" s="59"/>
      <c r="I30" s="14"/>
      <c r="J30" s="27" t="str">
        <f>IF(ISERROR(J29/$Z30),"",(J29/$Z30))</f>
        <v/>
      </c>
      <c r="K30" s="20" t="s">
        <v>8</v>
      </c>
      <c r="L30" s="58" t="s">
        <v>16</v>
      </c>
      <c r="M30" s="58" t="s">
        <v>9</v>
      </c>
      <c r="N30" s="227">
        <f>(L26*M26*N26)+(L27*M27*N27)+(L28*M28*N28)+(L29*M29*N29)</f>
        <v>0</v>
      </c>
      <c r="O30" s="50" t="s">
        <v>27</v>
      </c>
      <c r="P30" s="51" t="str">
        <f>IF(O26="","0",SUM(Q26:Q29))</f>
        <v>0</v>
      </c>
      <c r="Q30" s="233"/>
      <c r="R30" s="8" t="s">
        <v>0</v>
      </c>
      <c r="S30" s="152">
        <f>S27</f>
        <v>0</v>
      </c>
      <c r="T30" s="6" t="s">
        <v>3</v>
      </c>
      <c r="U30" s="487"/>
      <c r="V30" s="34" t="str">
        <f>IF(V29="","",VLOOKUP(V29,Properties!$B:$E,2,FALSE))</f>
        <v/>
      </c>
      <c r="W30" s="32" t="str">
        <f>IF(ISERROR(W31/$Z30),"",(W31/$Z30))</f>
        <v/>
      </c>
      <c r="X30" s="490" t="s">
        <v>32</v>
      </c>
      <c r="Y30" s="490"/>
      <c r="Z30" s="53">
        <f>IF(ISERROR(J29+P30+Z29+W28+W31),"",(J29+P30+Z29+W28+W31))</f>
        <v>0</v>
      </c>
      <c r="AA30" s="77" t="str">
        <f>IF(B26="","",(AA31*F26))</f>
        <v/>
      </c>
      <c r="AB30" s="471"/>
      <c r="AC30" s="472">
        <f>SUM(AG25:AG30)</f>
        <v>0</v>
      </c>
      <c r="AD30" s="443"/>
      <c r="AE30" s="502"/>
      <c r="AF30" s="473" t="s">
        <v>286</v>
      </c>
      <c r="AG30" s="474" t="str">
        <f>W31</f>
        <v>0</v>
      </c>
      <c r="AH30" s="475">
        <f>T31</f>
        <v>0</v>
      </c>
      <c r="AI30" s="476">
        <f>V29</f>
        <v>0</v>
      </c>
      <c r="AJ30" s="477" t="e">
        <f>VLOOKUP(AI30,Properties!$B:$E,3,FALSE)</f>
        <v>#N/A</v>
      </c>
      <c r="AK30" s="478" t="e">
        <f>VLOOKUP(AI30,Properties!B:E,4,FALSE)</f>
        <v>#N/A</v>
      </c>
      <c r="AL30" s="479">
        <v>0.3</v>
      </c>
      <c r="AM30" s="480">
        <f>($C$1-$C$2)/2</f>
        <v>11.5</v>
      </c>
      <c r="AN30" s="481" t="e">
        <f t="shared" si="2"/>
        <v>#N/A</v>
      </c>
      <c r="AO30" s="482"/>
    </row>
    <row r="31" spans="1:41" s="2" customFormat="1" ht="12.75" customHeight="1">
      <c r="B31" s="3"/>
      <c r="F31" s="59"/>
      <c r="H31" s="59"/>
      <c r="L31" s="59"/>
      <c r="M31" s="59"/>
      <c r="O31" s="55" t="str">
        <f>IF(ISERROR(100*N30/(H26*H27)),"",(100*N30/(H26*H27)))</f>
        <v/>
      </c>
      <c r="P31" s="28" t="str">
        <f>IF(ISERROR(P30/$Z30),"",(P30/$Z30))</f>
        <v/>
      </c>
      <c r="Q31" s="45"/>
      <c r="R31" s="15" t="s">
        <v>1</v>
      </c>
      <c r="S31" s="153">
        <f>S28</f>
        <v>0</v>
      </c>
      <c r="T31" s="13">
        <f>(S30*S31)</f>
        <v>0</v>
      </c>
      <c r="U31" s="488"/>
      <c r="V31" s="48" t="s">
        <v>34</v>
      </c>
      <c r="W31" s="49" t="str">
        <f>IF(ISERROR(T31*V30*(U29)),"0",T31*V30*(U29))</f>
        <v>0</v>
      </c>
      <c r="X31" s="489" t="s">
        <v>31</v>
      </c>
      <c r="Y31" s="489"/>
      <c r="Z31" s="53">
        <f>IF(ISERROR(Z30*(1+$C$3)),"",(Z30*(1+$C$3)))</f>
        <v>0</v>
      </c>
      <c r="AA31" s="76" t="str">
        <f>IF(B26="","",(Z31/(F26*F27*F28)))</f>
        <v/>
      </c>
      <c r="AB31" s="471">
        <f>F27*F28</f>
        <v>0</v>
      </c>
      <c r="AC31" s="442"/>
      <c r="AD31" s="443"/>
      <c r="AE31" s="443"/>
      <c r="AF31" s="483"/>
      <c r="AG31" s="483"/>
      <c r="AH31" s="483"/>
      <c r="AI31" s="484"/>
      <c r="AJ31" s="485"/>
      <c r="AK31" s="485"/>
      <c r="AL31" s="466"/>
      <c r="AM31" s="483"/>
      <c r="AN31" s="442"/>
      <c r="AO31" s="442"/>
    </row>
    <row r="32" spans="1:41" s="61" customFormat="1" ht="14" thickBot="1">
      <c r="B32" s="60"/>
      <c r="E32" s="62"/>
      <c r="F32" s="67"/>
      <c r="G32" s="62"/>
      <c r="H32" s="67"/>
      <c r="I32" s="62"/>
      <c r="J32" s="62"/>
      <c r="L32" s="63"/>
      <c r="M32" s="63"/>
      <c r="Q32" s="72"/>
      <c r="AB32" s="436"/>
      <c r="AC32" s="437"/>
      <c r="AD32" s="438"/>
      <c r="AE32" s="438"/>
      <c r="AF32" s="437"/>
      <c r="AG32" s="437"/>
      <c r="AH32" s="437"/>
      <c r="AI32" s="439"/>
      <c r="AJ32" s="438"/>
      <c r="AK32" s="438"/>
      <c r="AL32" s="438"/>
      <c r="AM32" s="437"/>
      <c r="AN32" s="437"/>
      <c r="AO32" s="437"/>
    </row>
    <row r="33" spans="1:41" s="21" customFormat="1" ht="14" thickBot="1">
      <c r="A33" s="166" t="s">
        <v>35</v>
      </c>
      <c r="B33" s="100" t="s">
        <v>7</v>
      </c>
      <c r="C33" s="495" t="s">
        <v>36</v>
      </c>
      <c r="D33" s="496"/>
      <c r="E33" s="495" t="s">
        <v>5</v>
      </c>
      <c r="F33" s="497"/>
      <c r="G33" s="37" t="s">
        <v>10</v>
      </c>
      <c r="H33" s="70"/>
      <c r="I33" s="101"/>
      <c r="J33" s="101"/>
      <c r="K33" s="37" t="s">
        <v>19</v>
      </c>
      <c r="L33" s="226" t="s">
        <v>602</v>
      </c>
      <c r="M33" s="226" t="s">
        <v>1</v>
      </c>
      <c r="N33" s="39" t="s">
        <v>603</v>
      </c>
      <c r="O33" s="40" t="s">
        <v>4</v>
      </c>
      <c r="P33" s="41" t="s">
        <v>3</v>
      </c>
      <c r="Q33" s="231"/>
      <c r="R33" s="37" t="s">
        <v>33</v>
      </c>
      <c r="S33" s="38"/>
      <c r="T33" s="101"/>
      <c r="U33" s="162"/>
      <c r="V33" s="101"/>
      <c r="W33" s="101"/>
      <c r="X33" s="37" t="s">
        <v>24</v>
      </c>
      <c r="Y33" s="101"/>
      <c r="Z33" s="42"/>
      <c r="AB33" s="446"/>
      <c r="AC33" s="447"/>
      <c r="AD33" s="448"/>
      <c r="AE33" s="502">
        <f>B34</f>
        <v>0</v>
      </c>
      <c r="AF33" s="449" t="s">
        <v>285</v>
      </c>
      <c r="AG33" s="450" t="str">
        <f>J37</f>
        <v>0</v>
      </c>
      <c r="AH33" s="451" t="str">
        <f>J36</f>
        <v/>
      </c>
      <c r="AI33" s="452">
        <f>J34</f>
        <v>0</v>
      </c>
      <c r="AJ33" s="453" t="str">
        <f>IF(B34="","",VLOOKUP(AI33,Properties!$B:$E,3,FALSE))</f>
        <v/>
      </c>
      <c r="AK33" s="454" t="str">
        <f>IF(B34="","",VLOOKUP(AI33,Properties!B:E,4,FALSE))</f>
        <v/>
      </c>
      <c r="AL33" s="455">
        <v>0.2</v>
      </c>
      <c r="AM33" s="456">
        <f>($C$1-$C$2)/2</f>
        <v>11.5</v>
      </c>
      <c r="AN33" s="457" t="str">
        <f>IF(B34="","",($AH33*AL33*AK33*AJ33*AM33/3600))</f>
        <v/>
      </c>
      <c r="AO33" s="458"/>
    </row>
    <row r="34" spans="1:41" s="7" customFormat="1" ht="14">
      <c r="A34" s="167"/>
      <c r="B34" s="161"/>
      <c r="C34" s="11" t="s">
        <v>17</v>
      </c>
      <c r="D34" s="16" t="s">
        <v>18</v>
      </c>
      <c r="E34" s="8" t="s">
        <v>602</v>
      </c>
      <c r="F34" s="65"/>
      <c r="G34" s="8" t="s">
        <v>602</v>
      </c>
      <c r="H34" s="69"/>
      <c r="I34" s="6" t="s">
        <v>39</v>
      </c>
      <c r="J34" s="224"/>
      <c r="K34" s="11" t="s">
        <v>20</v>
      </c>
      <c r="L34" s="57"/>
      <c r="M34" s="57"/>
      <c r="N34" s="4"/>
      <c r="O34" s="224"/>
      <c r="P34" s="54" t="str">
        <f>IF(O34="","",VLOOKUP(O34,Properties!$B:$E,2,FALSE))</f>
        <v/>
      </c>
      <c r="Q34" s="232" t="e">
        <f>L34*M34*N34*P34*(C$19-D$19)</f>
        <v>#VALUE!</v>
      </c>
      <c r="R34" s="29" t="s">
        <v>29</v>
      </c>
      <c r="S34" s="30"/>
      <c r="T34" s="31" t="s">
        <v>37</v>
      </c>
      <c r="U34" s="486">
        <f>C35-D35</f>
        <v>23</v>
      </c>
      <c r="V34" s="498"/>
      <c r="W34" s="499"/>
      <c r="X34" s="19" t="s">
        <v>14</v>
      </c>
      <c r="Y34" s="22"/>
      <c r="Z34" s="25">
        <f>IF(ISERROR((((F34*F35*F36*Y34)/3600)*1020*(C35-D35)/0.78)),"0",(((F34*F35*F36*Y34)/3600)*1020*(C35-D35)/0.78))</f>
        <v>0</v>
      </c>
      <c r="AA34" s="43" t="str">
        <f>IF(ISERROR(Z34/$Z38),"",(Z34/$Z38))</f>
        <v/>
      </c>
      <c r="AB34" s="459"/>
      <c r="AC34" s="447"/>
      <c r="AD34" s="443"/>
      <c r="AE34" s="502"/>
      <c r="AF34" s="460" t="s">
        <v>200</v>
      </c>
      <c r="AG34" s="461" t="str">
        <f>P38</f>
        <v>0</v>
      </c>
      <c r="AH34" s="462">
        <f>N38</f>
        <v>0</v>
      </c>
      <c r="AI34" s="463">
        <f>O34</f>
        <v>0</v>
      </c>
      <c r="AJ34" s="464" t="str">
        <f>IF(B35="","",VLOOKUP(AI34,Properties!$B:$E,3,FALSE))</f>
        <v/>
      </c>
      <c r="AK34" s="465" t="str">
        <f>IF(B35="","",VLOOKUP(AI34,Properties!B:E,4,FALSE))</f>
        <v/>
      </c>
      <c r="AL34" s="466">
        <v>1.2E-2</v>
      </c>
      <c r="AM34" s="467">
        <f>($C$1-$C$2)/2</f>
        <v>11.5</v>
      </c>
      <c r="AN34" s="468" t="str">
        <f>IF(B35="","",($AH34*AL34*AK34*AJ34*AM34/3600))</f>
        <v/>
      </c>
      <c r="AO34" s="442"/>
    </row>
    <row r="35" spans="1:41" s="7" customFormat="1" ht="14">
      <c r="B35" s="6"/>
      <c r="C35" s="46">
        <f>$C$1</f>
        <v>21</v>
      </c>
      <c r="D35" s="47">
        <f>$C$2</f>
        <v>-2</v>
      </c>
      <c r="E35" s="8" t="s">
        <v>1</v>
      </c>
      <c r="F35" s="57"/>
      <c r="G35" s="8" t="s">
        <v>1</v>
      </c>
      <c r="H35" s="69"/>
      <c r="I35" s="6" t="s">
        <v>3</v>
      </c>
      <c r="J35" s="54" t="str">
        <f>IF(J34="","",VLOOKUP(J34,Properties!$B:$E,2,FALSE))</f>
        <v/>
      </c>
      <c r="K35" s="11" t="s">
        <v>21</v>
      </c>
      <c r="L35" s="57"/>
      <c r="M35" s="57"/>
      <c r="N35" s="4"/>
      <c r="O35" s="33"/>
      <c r="P35" s="54" t="str">
        <f>IF(O35="","",VLOOKUP(O35,Properties!$B:$E,2,FALSE))</f>
        <v/>
      </c>
      <c r="Q35" s="232" t="str">
        <f>IF(ISERROR((L35*M35*N35*P35*(C$19-D$19))),"",((L35*M35*N35*P35*(C$19-D$19))))</f>
        <v/>
      </c>
      <c r="R35" s="8" t="s">
        <v>0</v>
      </c>
      <c r="S35" s="152">
        <f>F36</f>
        <v>0</v>
      </c>
      <c r="T35" s="6"/>
      <c r="U35" s="487"/>
      <c r="V35" s="148" t="str">
        <f>IF(V34="","",VLOOKUP(V34,Properties!$B:$E,2,FALSE))</f>
        <v/>
      </c>
      <c r="W35" s="149" t="str">
        <f>IF(ISERROR(W36/$Z38),"",(W36/$Z38))</f>
        <v/>
      </c>
      <c r="X35" s="19" t="s">
        <v>15</v>
      </c>
      <c r="Y35" s="23"/>
      <c r="Z35" s="25">
        <f>(Y35/0.78)*1020*(C35-D35)*(1-Y36)</f>
        <v>0</v>
      </c>
      <c r="AA35" s="43" t="str">
        <f>IF(ISERROR(Z34/$Z38),"",(Z34/$Z38))</f>
        <v/>
      </c>
      <c r="AB35" s="459"/>
      <c r="AC35" s="469"/>
      <c r="AD35" s="443"/>
      <c r="AE35" s="502"/>
      <c r="AF35" s="460" t="s">
        <v>299</v>
      </c>
      <c r="AG35" s="461">
        <f>Z34</f>
        <v>0</v>
      </c>
      <c r="AH35" s="462"/>
      <c r="AI35" s="463"/>
      <c r="AJ35" s="463"/>
      <c r="AK35" s="463"/>
      <c r="AL35" s="463"/>
      <c r="AM35" s="463"/>
      <c r="AN35" s="470"/>
      <c r="AO35" s="442"/>
    </row>
    <row r="36" spans="1:41" s="2" customFormat="1" ht="14">
      <c r="B36" s="3"/>
      <c r="E36" s="15" t="s">
        <v>0</v>
      </c>
      <c r="F36" s="66"/>
      <c r="G36" s="18"/>
      <c r="H36" s="59"/>
      <c r="I36" s="3" t="s">
        <v>2</v>
      </c>
      <c r="J36" s="225" t="str">
        <f>IF(J34="","",((H35*H34)-N38))</f>
        <v/>
      </c>
      <c r="K36" s="11" t="s">
        <v>22</v>
      </c>
      <c r="L36" s="57"/>
      <c r="M36" s="57"/>
      <c r="N36" s="4"/>
      <c r="O36" s="33"/>
      <c r="P36" s="54" t="str">
        <f>IF(O36="","",VLOOKUP(O36,Properties!$B:$E,2,FALSE))</f>
        <v/>
      </c>
      <c r="Q36" s="232" t="str">
        <f>IF(ISERROR((L36*M36*N36*P36*(C$19-D$19))),"",((L36*M36*N36*P36*(C$19-D$19))))</f>
        <v/>
      </c>
      <c r="R36" s="15" t="s">
        <v>1</v>
      </c>
      <c r="S36" s="153">
        <f>F35</f>
        <v>0</v>
      </c>
      <c r="T36" s="13">
        <f>(S35*S36)</f>
        <v>0</v>
      </c>
      <c r="U36" s="488"/>
      <c r="V36" s="48" t="s">
        <v>30</v>
      </c>
      <c r="W36" s="49" t="str">
        <f>IF(ISERROR(T36*V35*(U34)),"0",T36*V35*(U34))</f>
        <v>0</v>
      </c>
      <c r="X36" s="3" t="s">
        <v>25</v>
      </c>
      <c r="Y36" s="24">
        <v>0.5</v>
      </c>
      <c r="Z36" s="10"/>
      <c r="AB36" s="441"/>
      <c r="AC36" s="469"/>
      <c r="AD36" s="443"/>
      <c r="AE36" s="502"/>
      <c r="AF36" s="460" t="s">
        <v>300</v>
      </c>
      <c r="AG36" s="461">
        <f>Z35</f>
        <v>0</v>
      </c>
      <c r="AH36" s="462"/>
      <c r="AI36" s="463"/>
      <c r="AJ36" s="463"/>
      <c r="AK36" s="463"/>
      <c r="AL36" s="463"/>
      <c r="AM36" s="463"/>
      <c r="AN36" s="470"/>
      <c r="AO36" s="442"/>
    </row>
    <row r="37" spans="1:41" s="2" customFormat="1">
      <c r="B37" s="3"/>
      <c r="F37" s="59"/>
      <c r="G37" s="12"/>
      <c r="H37" s="58"/>
      <c r="I37" s="48" t="s">
        <v>28</v>
      </c>
      <c r="J37" s="49" t="str">
        <f>IF(J34="","0",(J36*J35*(C35-D35)))</f>
        <v>0</v>
      </c>
      <c r="K37" s="11" t="s">
        <v>23</v>
      </c>
      <c r="L37" s="57"/>
      <c r="M37" s="57"/>
      <c r="N37" s="4"/>
      <c r="O37" s="33"/>
      <c r="P37" s="54" t="str">
        <f>IF(O37="","",VLOOKUP(O37,Properties!$B:$E,2,FALSE))</f>
        <v/>
      </c>
      <c r="Q37" s="232" t="str">
        <f>IF(ISERROR((L37*M37*N37*P37*(C$19-D$19))),"",((L37*M37*N37*P37*(C$19-D$19))))</f>
        <v/>
      </c>
      <c r="R37" s="26" t="s">
        <v>6</v>
      </c>
      <c r="S37" s="154"/>
      <c r="T37" s="17" t="s">
        <v>38</v>
      </c>
      <c r="U37" s="486">
        <v>10</v>
      </c>
      <c r="V37" s="500"/>
      <c r="W37" s="501"/>
      <c r="X37" s="9"/>
      <c r="Y37" s="52" t="s">
        <v>26</v>
      </c>
      <c r="Z37" s="51">
        <f>Z34+Z35</f>
        <v>0</v>
      </c>
      <c r="AB37" s="441"/>
      <c r="AC37" s="469"/>
      <c r="AD37" s="443"/>
      <c r="AE37" s="502"/>
      <c r="AF37" s="460" t="s">
        <v>283</v>
      </c>
      <c r="AG37" s="461" t="str">
        <f>W36</f>
        <v>0</v>
      </c>
      <c r="AH37" s="462">
        <f>T36</f>
        <v>0</v>
      </c>
      <c r="AI37" s="463">
        <f>V34</f>
        <v>0</v>
      </c>
      <c r="AJ37" s="464" t="str">
        <f>IF(B38="","",VLOOKUP(AI37,Properties!$B:$E,3,FALSE))</f>
        <v/>
      </c>
      <c r="AK37" s="465" t="str">
        <f>IF(B38="","",VLOOKUP(AI37,Properties!B:E,4,FALSE))</f>
        <v/>
      </c>
      <c r="AL37" s="466">
        <v>0.3</v>
      </c>
      <c r="AM37" s="467">
        <f>($C$1-$C$2)/2</f>
        <v>11.5</v>
      </c>
      <c r="AN37" s="468" t="str">
        <f>IF(B38="","",($AH37*AL37*AK37*AJ37*AM37/3600))</f>
        <v/>
      </c>
      <c r="AO37" s="442"/>
    </row>
    <row r="38" spans="1:41" s="2" customFormat="1" ht="12.75" customHeight="1">
      <c r="B38" s="3"/>
      <c r="F38" s="59"/>
      <c r="H38" s="59"/>
      <c r="I38" s="14"/>
      <c r="J38" s="27" t="str">
        <f>IF(ISERROR(J37/$Z38),"",(J37/$Z38))</f>
        <v/>
      </c>
      <c r="K38" s="20" t="s">
        <v>8</v>
      </c>
      <c r="L38" s="58" t="s">
        <v>16</v>
      </c>
      <c r="M38" s="58" t="s">
        <v>9</v>
      </c>
      <c r="N38" s="227">
        <f>(L34*M34*N34)+(L35*M35*N35)+(L36*M36*N36)+(L37*M37*N37)</f>
        <v>0</v>
      </c>
      <c r="O38" s="50" t="s">
        <v>27</v>
      </c>
      <c r="P38" s="51" t="str">
        <f>IF(O34="","0",SUM(Q34:Q37))</f>
        <v>0</v>
      </c>
      <c r="Q38" s="233"/>
      <c r="R38" s="8" t="s">
        <v>0</v>
      </c>
      <c r="S38" s="152">
        <f>S35</f>
        <v>0</v>
      </c>
      <c r="T38" s="6" t="s">
        <v>3</v>
      </c>
      <c r="U38" s="487"/>
      <c r="V38" s="34" t="str">
        <f>IF(V37="","",VLOOKUP(V37,Properties!$B:$E,2,FALSE))</f>
        <v/>
      </c>
      <c r="W38" s="32" t="str">
        <f>IF(ISERROR(W39/$Z38),"",(W39/$Z38))</f>
        <v/>
      </c>
      <c r="X38" s="490" t="s">
        <v>32</v>
      </c>
      <c r="Y38" s="490"/>
      <c r="Z38" s="53">
        <f>IF(ISERROR(J37+P38+Z37+W36+W39),"",(J37+P38+Z37+W36+W39))</f>
        <v>0</v>
      </c>
      <c r="AA38" s="77" t="str">
        <f>IF(B34="","",(AA39*F34))</f>
        <v/>
      </c>
      <c r="AB38" s="471"/>
      <c r="AC38" s="472">
        <f>SUM(AG33:AG38)</f>
        <v>0</v>
      </c>
      <c r="AD38" s="443"/>
      <c r="AE38" s="502"/>
      <c r="AF38" s="473" t="s">
        <v>286</v>
      </c>
      <c r="AG38" s="474" t="str">
        <f>W39</f>
        <v>0</v>
      </c>
      <c r="AH38" s="475">
        <f>T39</f>
        <v>0</v>
      </c>
      <c r="AI38" s="476">
        <f>V37</f>
        <v>0</v>
      </c>
      <c r="AJ38" s="477" t="str">
        <f>IF(B39="","",VLOOKUP(AI38,Properties!$B:$E,3,FALSE))</f>
        <v/>
      </c>
      <c r="AK38" s="478" t="str">
        <f>IF(B39="","",VLOOKUP(AI38,Properties!B:E,4,FALSE))</f>
        <v/>
      </c>
      <c r="AL38" s="479">
        <v>0.3</v>
      </c>
      <c r="AM38" s="480">
        <f>($C$1-$C$2)/2</f>
        <v>11.5</v>
      </c>
      <c r="AN38" s="481" t="str">
        <f>IF(B39="","",($AH38*AL38*AK38*AJ38*AM38/3600))</f>
        <v/>
      </c>
      <c r="AO38" s="482"/>
    </row>
    <row r="39" spans="1:41" s="2" customFormat="1" ht="12.75" customHeight="1">
      <c r="B39" s="3"/>
      <c r="F39" s="59"/>
      <c r="H39" s="59"/>
      <c r="L39" s="59"/>
      <c r="M39" s="59"/>
      <c r="O39" s="55" t="str">
        <f>IF(ISERROR(100*N38/(H34*H35)),"",(100*N38/(H34*H35)))</f>
        <v/>
      </c>
      <c r="P39" s="28" t="str">
        <f>IF(ISERROR(P38/$Z38),"",(P38/$Z38))</f>
        <v/>
      </c>
      <c r="Q39" s="45"/>
      <c r="R39" s="15" t="s">
        <v>1</v>
      </c>
      <c r="S39" s="153">
        <f>S36</f>
        <v>0</v>
      </c>
      <c r="T39" s="13">
        <f>(S38*S39)</f>
        <v>0</v>
      </c>
      <c r="U39" s="488"/>
      <c r="V39" s="48" t="s">
        <v>34</v>
      </c>
      <c r="W39" s="49" t="str">
        <f>IF(ISERROR(T39*V38*(U37)),"0",T39*V38*(U37))</f>
        <v>0</v>
      </c>
      <c r="X39" s="489" t="s">
        <v>31</v>
      </c>
      <c r="Y39" s="489"/>
      <c r="Z39" s="53">
        <f>IF(ISERROR(Z38*(1+$C$3)),"",(Z38*(1+$C$3)))</f>
        <v>0</v>
      </c>
      <c r="AA39" s="76" t="str">
        <f>IF(B34="","",(Z39/(F34*F35*F36)))</f>
        <v/>
      </c>
      <c r="AB39" s="471">
        <f>F35*F36</f>
        <v>0</v>
      </c>
      <c r="AC39" s="442"/>
      <c r="AD39" s="443"/>
      <c r="AE39" s="443"/>
      <c r="AF39" s="483"/>
      <c r="AG39" s="483"/>
      <c r="AH39" s="483"/>
      <c r="AI39" s="484"/>
      <c r="AJ39" s="485"/>
      <c r="AK39" s="485"/>
      <c r="AL39" s="466"/>
      <c r="AM39" s="483"/>
      <c r="AN39" s="442"/>
      <c r="AO39" s="442"/>
    </row>
    <row r="40" spans="1:41" s="61" customFormat="1" ht="14" thickBot="1">
      <c r="B40" s="60"/>
      <c r="E40" s="62"/>
      <c r="F40" s="67"/>
      <c r="G40" s="62"/>
      <c r="H40" s="67"/>
      <c r="I40" s="62"/>
      <c r="J40" s="62"/>
      <c r="L40" s="63"/>
      <c r="M40" s="63"/>
      <c r="Q40" s="72"/>
      <c r="AB40" s="436"/>
      <c r="AC40" s="437"/>
      <c r="AD40" s="438"/>
      <c r="AE40" s="438"/>
      <c r="AF40" s="437"/>
      <c r="AG40" s="437"/>
      <c r="AH40" s="437"/>
      <c r="AI40" s="439"/>
      <c r="AJ40" s="438"/>
      <c r="AK40" s="438"/>
      <c r="AL40" s="438"/>
      <c r="AM40" s="437"/>
      <c r="AN40" s="437"/>
      <c r="AO40" s="437"/>
    </row>
    <row r="41" spans="1:41" s="21" customFormat="1" ht="14" thickBot="1">
      <c r="A41" s="166" t="s">
        <v>35</v>
      </c>
      <c r="B41" s="100" t="s">
        <v>7</v>
      </c>
      <c r="C41" s="495" t="s">
        <v>36</v>
      </c>
      <c r="D41" s="496"/>
      <c r="E41" s="495" t="s">
        <v>5</v>
      </c>
      <c r="F41" s="497"/>
      <c r="G41" s="37" t="s">
        <v>10</v>
      </c>
      <c r="H41" s="70"/>
      <c r="I41" s="101"/>
      <c r="J41" s="101"/>
      <c r="K41" s="37" t="s">
        <v>19</v>
      </c>
      <c r="L41" s="226" t="s">
        <v>602</v>
      </c>
      <c r="M41" s="226" t="s">
        <v>1</v>
      </c>
      <c r="N41" s="39" t="s">
        <v>603</v>
      </c>
      <c r="O41" s="40" t="s">
        <v>4</v>
      </c>
      <c r="P41" s="41" t="s">
        <v>3</v>
      </c>
      <c r="Q41" s="231"/>
      <c r="R41" s="37" t="s">
        <v>33</v>
      </c>
      <c r="S41" s="38"/>
      <c r="T41" s="101"/>
      <c r="U41" s="162"/>
      <c r="V41" s="101"/>
      <c r="W41" s="101"/>
      <c r="X41" s="37" t="s">
        <v>24</v>
      </c>
      <c r="Y41" s="101"/>
      <c r="Z41" s="42"/>
      <c r="AB41" s="446"/>
      <c r="AC41" s="447"/>
      <c r="AD41" s="448"/>
      <c r="AE41" s="502">
        <f>B42</f>
        <v>0</v>
      </c>
      <c r="AF41" s="449" t="s">
        <v>285</v>
      </c>
      <c r="AG41" s="450" t="str">
        <f>J45</f>
        <v>0</v>
      </c>
      <c r="AH41" s="451" t="str">
        <f>J44</f>
        <v/>
      </c>
      <c r="AI41" s="452">
        <f>J42</f>
        <v>0</v>
      </c>
      <c r="AJ41" s="453" t="str">
        <f>IF(B42="","",VLOOKUP(AI41,Properties!$B:$E,3,FALSE))</f>
        <v/>
      </c>
      <c r="AK41" s="454" t="str">
        <f>IF(B42="","",VLOOKUP(AI41,Properties!B:E,4,FALSE))</f>
        <v/>
      </c>
      <c r="AL41" s="455">
        <v>0.2</v>
      </c>
      <c r="AM41" s="456">
        <f>($C$1-$C$2)/2</f>
        <v>11.5</v>
      </c>
      <c r="AN41" s="457" t="str">
        <f>IF(B42="","",($AH41*AL41*AK41*AJ41*AM41/3600))</f>
        <v/>
      </c>
      <c r="AO41" s="458"/>
    </row>
    <row r="42" spans="1:41" s="7" customFormat="1" ht="14">
      <c r="A42" s="167"/>
      <c r="B42" s="161"/>
      <c r="C42" s="11" t="s">
        <v>17</v>
      </c>
      <c r="D42" s="16" t="s">
        <v>18</v>
      </c>
      <c r="E42" s="8" t="s">
        <v>602</v>
      </c>
      <c r="F42" s="65"/>
      <c r="G42" s="8" t="s">
        <v>602</v>
      </c>
      <c r="H42" s="69"/>
      <c r="I42" s="6" t="s">
        <v>39</v>
      </c>
      <c r="J42" s="224"/>
      <c r="K42" s="11" t="s">
        <v>20</v>
      </c>
      <c r="L42" s="57"/>
      <c r="M42" s="57"/>
      <c r="N42" s="4"/>
      <c r="O42" s="224"/>
      <c r="P42" s="54" t="str">
        <f>IF(O42="","",VLOOKUP(O42,Properties!$B:$E,2,FALSE))</f>
        <v/>
      </c>
      <c r="Q42" s="232" t="e">
        <f>L42*M42*N42*P42*(C$19-D$19)</f>
        <v>#VALUE!</v>
      </c>
      <c r="R42" s="29" t="s">
        <v>29</v>
      </c>
      <c r="S42" s="30"/>
      <c r="T42" s="31" t="s">
        <v>37</v>
      </c>
      <c r="U42" s="486">
        <f>C43-D43</f>
        <v>23</v>
      </c>
      <c r="V42" s="498"/>
      <c r="W42" s="499"/>
      <c r="X42" s="19" t="s">
        <v>14</v>
      </c>
      <c r="Y42" s="22"/>
      <c r="Z42" s="25">
        <f>IF(ISERROR((((F42*F43*F44*Y42)/3600)*1020*(C43-D43)/0.78)),"0",(((F42*F43*F44*Y42)/3600)*1020*(C43-D43)/0.78))</f>
        <v>0</v>
      </c>
      <c r="AA42" s="43" t="str">
        <f>IF(ISERROR(Z42/$Z46),"",(Z42/$Z46))</f>
        <v/>
      </c>
      <c r="AB42" s="459"/>
      <c r="AC42" s="447"/>
      <c r="AD42" s="443"/>
      <c r="AE42" s="502"/>
      <c r="AF42" s="460" t="s">
        <v>200</v>
      </c>
      <c r="AG42" s="461" t="str">
        <f>P46</f>
        <v>0</v>
      </c>
      <c r="AH42" s="462">
        <f>N46</f>
        <v>0</v>
      </c>
      <c r="AI42" s="463">
        <f>O42</f>
        <v>0</v>
      </c>
      <c r="AJ42" s="464" t="str">
        <f>IF(B43="","",VLOOKUP(AI42,Properties!$B:$E,3,FALSE))</f>
        <v/>
      </c>
      <c r="AK42" s="465" t="str">
        <f>IF(B43="","",VLOOKUP(AI42,Properties!B:E,4,FALSE))</f>
        <v/>
      </c>
      <c r="AL42" s="466">
        <v>1.2E-2</v>
      </c>
      <c r="AM42" s="467">
        <f>($C$1-$C$2)/2</f>
        <v>11.5</v>
      </c>
      <c r="AN42" s="468" t="str">
        <f>IF(B43="","",($AH42*AL42*AK42*AJ42*AM42/3600))</f>
        <v/>
      </c>
      <c r="AO42" s="442"/>
    </row>
    <row r="43" spans="1:41" s="7" customFormat="1" ht="14">
      <c r="B43" s="6"/>
      <c r="C43" s="46">
        <f>$C$1</f>
        <v>21</v>
      </c>
      <c r="D43" s="47">
        <f>$C$2</f>
        <v>-2</v>
      </c>
      <c r="E43" s="8" t="s">
        <v>1</v>
      </c>
      <c r="F43" s="57"/>
      <c r="G43" s="8" t="s">
        <v>1</v>
      </c>
      <c r="H43" s="69"/>
      <c r="I43" s="6" t="s">
        <v>3</v>
      </c>
      <c r="J43" s="54" t="str">
        <f>IF(J42="","",VLOOKUP(J42,Properties!$B:$E,2,FALSE))</f>
        <v/>
      </c>
      <c r="K43" s="11" t="s">
        <v>21</v>
      </c>
      <c r="L43" s="57"/>
      <c r="M43" s="57"/>
      <c r="N43" s="4"/>
      <c r="O43" s="33"/>
      <c r="P43" s="54" t="str">
        <f>IF(O43="","",VLOOKUP(O43,Properties!$B:$E,2,FALSE))</f>
        <v/>
      </c>
      <c r="Q43" s="232" t="str">
        <f>IF(ISERROR((L43*M43*N43*P43*(C$19-D$19))),"",((L43*M43*N43*P43*(C$19-D$19))))</f>
        <v/>
      </c>
      <c r="R43" s="8" t="s">
        <v>0</v>
      </c>
      <c r="S43" s="152">
        <f>F44</f>
        <v>0</v>
      </c>
      <c r="T43" s="6"/>
      <c r="U43" s="487"/>
      <c r="V43" s="148" t="str">
        <f>IF(V42="","",VLOOKUP(V42,Properties!$B:$E,2,FALSE))</f>
        <v/>
      </c>
      <c r="W43" s="149" t="str">
        <f>IF(ISERROR(W44/$Z46),"",(W44/$Z46))</f>
        <v/>
      </c>
      <c r="X43" s="19" t="s">
        <v>15</v>
      </c>
      <c r="Y43" s="23"/>
      <c r="Z43" s="25">
        <f>(Y43/0.78)*1020*(C43-D43)*(1-Y44)</f>
        <v>0</v>
      </c>
      <c r="AA43" s="43" t="str">
        <f>IF(ISERROR(Z42/$Z46),"",(Z42/$Z46))</f>
        <v/>
      </c>
      <c r="AB43" s="459"/>
      <c r="AC43" s="469"/>
      <c r="AD43" s="443"/>
      <c r="AE43" s="502"/>
      <c r="AF43" s="460" t="s">
        <v>299</v>
      </c>
      <c r="AG43" s="461">
        <f>Z42</f>
        <v>0</v>
      </c>
      <c r="AH43" s="462"/>
      <c r="AI43" s="463"/>
      <c r="AJ43" s="463"/>
      <c r="AK43" s="463"/>
      <c r="AL43" s="463"/>
      <c r="AM43" s="463"/>
      <c r="AN43" s="470"/>
      <c r="AO43" s="442"/>
    </row>
    <row r="44" spans="1:41" s="2" customFormat="1" ht="14">
      <c r="B44" s="3"/>
      <c r="E44" s="15" t="s">
        <v>0</v>
      </c>
      <c r="F44" s="66"/>
      <c r="G44" s="18"/>
      <c r="H44" s="59"/>
      <c r="I44" s="3" t="s">
        <v>2</v>
      </c>
      <c r="J44" s="225" t="str">
        <f>IF(J42="","",((H43*H42)-N46))</f>
        <v/>
      </c>
      <c r="K44" s="11" t="s">
        <v>22</v>
      </c>
      <c r="L44" s="57"/>
      <c r="M44" s="57"/>
      <c r="N44" s="4"/>
      <c r="O44" s="33"/>
      <c r="P44" s="54" t="str">
        <f>IF(O44="","",VLOOKUP(O44,Properties!$B:$E,2,FALSE))</f>
        <v/>
      </c>
      <c r="Q44" s="232" t="str">
        <f>IF(ISERROR((L44*M44*N44*P44*(C$19-D$19))),"",((L44*M44*N44*P44*(C$19-D$19))))</f>
        <v/>
      </c>
      <c r="R44" s="15" t="s">
        <v>1</v>
      </c>
      <c r="S44" s="153">
        <f>F43</f>
        <v>0</v>
      </c>
      <c r="T44" s="13">
        <f>(S43*S44)</f>
        <v>0</v>
      </c>
      <c r="U44" s="488"/>
      <c r="V44" s="48" t="s">
        <v>30</v>
      </c>
      <c r="W44" s="49" t="str">
        <f>IF(ISERROR(T44*V43*(U42)),"0",T44*V43*(U42))</f>
        <v>0</v>
      </c>
      <c r="X44" s="3" t="s">
        <v>25</v>
      </c>
      <c r="Y44" s="24">
        <v>0.5</v>
      </c>
      <c r="Z44" s="10"/>
      <c r="AB44" s="441"/>
      <c r="AC44" s="469"/>
      <c r="AD44" s="443"/>
      <c r="AE44" s="502"/>
      <c r="AF44" s="460" t="s">
        <v>300</v>
      </c>
      <c r="AG44" s="461">
        <f>Z43</f>
        <v>0</v>
      </c>
      <c r="AH44" s="462"/>
      <c r="AI44" s="463"/>
      <c r="AJ44" s="463"/>
      <c r="AK44" s="463"/>
      <c r="AL44" s="463"/>
      <c r="AM44" s="463"/>
      <c r="AN44" s="470"/>
      <c r="AO44" s="442"/>
    </row>
    <row r="45" spans="1:41" s="2" customFormat="1">
      <c r="B45" s="3"/>
      <c r="F45" s="59"/>
      <c r="G45" s="12"/>
      <c r="H45" s="58"/>
      <c r="I45" s="48" t="s">
        <v>28</v>
      </c>
      <c r="J45" s="49" t="str">
        <f>IF(J42="","0",(J44*J43*(C43-D43)))</f>
        <v>0</v>
      </c>
      <c r="K45" s="11" t="s">
        <v>23</v>
      </c>
      <c r="L45" s="57"/>
      <c r="M45" s="57"/>
      <c r="N45" s="4"/>
      <c r="O45" s="33"/>
      <c r="P45" s="54" t="str">
        <f>IF(O45="","",VLOOKUP(O45,Properties!$B:$E,2,FALSE))</f>
        <v/>
      </c>
      <c r="Q45" s="232" t="str">
        <f>IF(ISERROR((L45*M45*N45*P45*(C$19-D$19))),"",((L45*M45*N45*P45*(C$19-D$19))))</f>
        <v/>
      </c>
      <c r="R45" s="26" t="s">
        <v>6</v>
      </c>
      <c r="S45" s="154"/>
      <c r="T45" s="17" t="s">
        <v>38</v>
      </c>
      <c r="U45" s="486">
        <v>10</v>
      </c>
      <c r="V45" s="500"/>
      <c r="W45" s="501"/>
      <c r="X45" s="9"/>
      <c r="Y45" s="52" t="s">
        <v>26</v>
      </c>
      <c r="Z45" s="51">
        <f>Z42+Z43</f>
        <v>0</v>
      </c>
      <c r="AB45" s="441"/>
      <c r="AC45" s="469"/>
      <c r="AD45" s="443"/>
      <c r="AE45" s="502"/>
      <c r="AF45" s="460" t="s">
        <v>283</v>
      </c>
      <c r="AG45" s="461" t="str">
        <f>W44</f>
        <v>0</v>
      </c>
      <c r="AH45" s="462">
        <f>T44</f>
        <v>0</v>
      </c>
      <c r="AI45" s="463">
        <f>V42</f>
        <v>0</v>
      </c>
      <c r="AJ45" s="464" t="str">
        <f>IF(B46="","",VLOOKUP(AI45,Properties!$B:$E,3,FALSE))</f>
        <v/>
      </c>
      <c r="AK45" s="465" t="str">
        <f>IF(B46="","",VLOOKUP(AI45,Properties!B:E,4,FALSE))</f>
        <v/>
      </c>
      <c r="AL45" s="466">
        <v>0.3</v>
      </c>
      <c r="AM45" s="467">
        <f>($C$1-$C$2)/2</f>
        <v>11.5</v>
      </c>
      <c r="AN45" s="468" t="str">
        <f>IF(B46="","",($AH45*AL45*AK45*AJ45*AM45/3600))</f>
        <v/>
      </c>
      <c r="AO45" s="442"/>
    </row>
    <row r="46" spans="1:41" s="2" customFormat="1" ht="12.75" customHeight="1">
      <c r="B46" s="3"/>
      <c r="F46" s="59"/>
      <c r="H46" s="59"/>
      <c r="I46" s="14"/>
      <c r="J46" s="27" t="str">
        <f>IF(ISERROR(J45/$Z46),"",(J45/$Z46))</f>
        <v/>
      </c>
      <c r="K46" s="20" t="s">
        <v>8</v>
      </c>
      <c r="L46" s="58" t="s">
        <v>16</v>
      </c>
      <c r="M46" s="58" t="s">
        <v>9</v>
      </c>
      <c r="N46" s="227">
        <f>(L42*M42*N42)+(L43*M43*N43)+(L44*M44*N44)+(L45*M45*N45)</f>
        <v>0</v>
      </c>
      <c r="O46" s="50" t="s">
        <v>27</v>
      </c>
      <c r="P46" s="51" t="str">
        <f>IF(O42="","0",SUM(Q42:Q45))</f>
        <v>0</v>
      </c>
      <c r="Q46" s="233"/>
      <c r="R46" s="8" t="s">
        <v>0</v>
      </c>
      <c r="S46" s="152">
        <f>S43</f>
        <v>0</v>
      </c>
      <c r="T46" s="6" t="s">
        <v>3</v>
      </c>
      <c r="U46" s="487"/>
      <c r="V46" s="34" t="str">
        <f>IF(V45="","",VLOOKUP(V45,Properties!$B:$E,2,FALSE))</f>
        <v/>
      </c>
      <c r="W46" s="32" t="str">
        <f>IF(ISERROR(W47/$Z46),"",(W47/$Z46))</f>
        <v/>
      </c>
      <c r="X46" s="490" t="s">
        <v>32</v>
      </c>
      <c r="Y46" s="490"/>
      <c r="Z46" s="53">
        <f>IF(ISERROR(J45+P46+Z45+W44+W47),"",(J45+P46+Z45+W44+W47))</f>
        <v>0</v>
      </c>
      <c r="AA46" s="77" t="str">
        <f>IF(B42="","",(AA47*F42))</f>
        <v/>
      </c>
      <c r="AB46" s="471"/>
      <c r="AC46" s="472">
        <f>SUM(AG41:AG46)</f>
        <v>0</v>
      </c>
      <c r="AD46" s="443"/>
      <c r="AE46" s="502"/>
      <c r="AF46" s="473" t="s">
        <v>286</v>
      </c>
      <c r="AG46" s="474" t="str">
        <f>W47</f>
        <v>0</v>
      </c>
      <c r="AH46" s="475">
        <f>T47</f>
        <v>0</v>
      </c>
      <c r="AI46" s="476">
        <f>V45</f>
        <v>0</v>
      </c>
      <c r="AJ46" s="477" t="str">
        <f>IF(B47="","",VLOOKUP(AI46,Properties!$B:$E,3,FALSE))</f>
        <v/>
      </c>
      <c r="AK46" s="478" t="str">
        <f>IF(B47="","",VLOOKUP(AI46,Properties!B:E,4,FALSE))</f>
        <v/>
      </c>
      <c r="AL46" s="479">
        <v>0.3</v>
      </c>
      <c r="AM46" s="480">
        <f>($C$1-$C$2)/2</f>
        <v>11.5</v>
      </c>
      <c r="AN46" s="481" t="str">
        <f>IF(B47="","",($AH46*AL46*AK46*AJ46*AM46/3600))</f>
        <v/>
      </c>
      <c r="AO46" s="482"/>
    </row>
    <row r="47" spans="1:41" s="2" customFormat="1" ht="12.75" customHeight="1">
      <c r="B47" s="3"/>
      <c r="F47" s="59"/>
      <c r="H47" s="59"/>
      <c r="L47" s="59"/>
      <c r="M47" s="59"/>
      <c r="O47" s="55" t="str">
        <f>IF(ISERROR(100*N46/(H42*H43)),"",(100*N46/(H42*H43)))</f>
        <v/>
      </c>
      <c r="P47" s="28" t="str">
        <f>IF(ISERROR(P46/$Z46),"",(P46/$Z46))</f>
        <v/>
      </c>
      <c r="Q47" s="45"/>
      <c r="R47" s="15" t="s">
        <v>1</v>
      </c>
      <c r="S47" s="153">
        <f>S44</f>
        <v>0</v>
      </c>
      <c r="T47" s="13">
        <f>(S46*S47)</f>
        <v>0</v>
      </c>
      <c r="U47" s="488"/>
      <c r="V47" s="48" t="s">
        <v>34</v>
      </c>
      <c r="W47" s="49" t="str">
        <f>IF(ISERROR(T47*V46*(U45)),"0",T47*V46*(U45))</f>
        <v>0</v>
      </c>
      <c r="X47" s="489" t="s">
        <v>31</v>
      </c>
      <c r="Y47" s="489"/>
      <c r="Z47" s="53">
        <f>IF(ISERROR(Z46*(1+$C$3)),"",(Z46*(1+$C$3)))</f>
        <v>0</v>
      </c>
      <c r="AA47" s="76" t="str">
        <f>IF(B42="","",(Z47/(F42*F43*F44)))</f>
        <v/>
      </c>
      <c r="AB47" s="471">
        <f>F43*F44</f>
        <v>0</v>
      </c>
      <c r="AC47" s="442"/>
      <c r="AD47" s="443"/>
      <c r="AE47" s="443"/>
      <c r="AF47" s="483"/>
      <c r="AG47" s="483"/>
      <c r="AH47" s="483"/>
      <c r="AI47" s="484"/>
      <c r="AJ47" s="485"/>
      <c r="AK47" s="485"/>
      <c r="AL47" s="466"/>
      <c r="AM47" s="483"/>
      <c r="AN47" s="442"/>
      <c r="AO47" s="442"/>
    </row>
    <row r="48" spans="1:41" s="61" customFormat="1" ht="14" thickBot="1">
      <c r="B48" s="60"/>
      <c r="E48" s="62"/>
      <c r="F48" s="67"/>
      <c r="G48" s="62"/>
      <c r="H48" s="67"/>
      <c r="I48" s="62"/>
      <c r="J48" s="62"/>
      <c r="L48" s="63"/>
      <c r="M48" s="63"/>
      <c r="Q48" s="72"/>
      <c r="AB48" s="436"/>
      <c r="AC48" s="437"/>
      <c r="AD48" s="438"/>
      <c r="AE48" s="438"/>
      <c r="AF48" s="437"/>
      <c r="AG48" s="437"/>
      <c r="AH48" s="437"/>
      <c r="AI48" s="439"/>
      <c r="AJ48" s="438"/>
      <c r="AK48" s="438"/>
      <c r="AL48" s="438"/>
      <c r="AM48" s="437"/>
      <c r="AN48" s="437"/>
      <c r="AO48" s="437"/>
    </row>
    <row r="49" spans="1:41" s="21" customFormat="1" ht="14" thickBot="1">
      <c r="A49" s="166" t="s">
        <v>35</v>
      </c>
      <c r="B49" s="100" t="s">
        <v>7</v>
      </c>
      <c r="C49" s="495" t="s">
        <v>36</v>
      </c>
      <c r="D49" s="496"/>
      <c r="E49" s="495" t="s">
        <v>5</v>
      </c>
      <c r="F49" s="497"/>
      <c r="G49" s="37" t="s">
        <v>10</v>
      </c>
      <c r="H49" s="70"/>
      <c r="I49" s="101"/>
      <c r="J49" s="101"/>
      <c r="K49" s="37" t="s">
        <v>19</v>
      </c>
      <c r="L49" s="226" t="s">
        <v>602</v>
      </c>
      <c r="M49" s="226" t="s">
        <v>1</v>
      </c>
      <c r="N49" s="39" t="s">
        <v>603</v>
      </c>
      <c r="O49" s="40" t="s">
        <v>4</v>
      </c>
      <c r="P49" s="41" t="s">
        <v>3</v>
      </c>
      <c r="Q49" s="231"/>
      <c r="R49" s="37" t="s">
        <v>33</v>
      </c>
      <c r="S49" s="38"/>
      <c r="T49" s="101"/>
      <c r="U49" s="162"/>
      <c r="V49" s="101"/>
      <c r="W49" s="101"/>
      <c r="X49" s="37" t="s">
        <v>24</v>
      </c>
      <c r="Y49" s="101"/>
      <c r="Z49" s="42"/>
      <c r="AB49" s="446"/>
      <c r="AC49" s="447"/>
      <c r="AD49" s="448"/>
      <c r="AE49" s="502">
        <f>B50</f>
        <v>0</v>
      </c>
      <c r="AF49" s="449" t="s">
        <v>285</v>
      </c>
      <c r="AG49" s="450" t="str">
        <f>J53</f>
        <v>0</v>
      </c>
      <c r="AH49" s="451" t="str">
        <f>J52</f>
        <v/>
      </c>
      <c r="AI49" s="452">
        <f>J50</f>
        <v>0</v>
      </c>
      <c r="AJ49" s="453" t="str">
        <f>IF(B50="","",VLOOKUP(AI49,Properties!$B:$E,3,FALSE))</f>
        <v/>
      </c>
      <c r="AK49" s="454" t="str">
        <f>IF(B50="","",VLOOKUP(AI49,Properties!B:E,4,FALSE))</f>
        <v/>
      </c>
      <c r="AL49" s="455">
        <v>0.2</v>
      </c>
      <c r="AM49" s="456">
        <f>($C$1-$C$2)/2</f>
        <v>11.5</v>
      </c>
      <c r="AN49" s="457" t="str">
        <f>IF(B50="","",($AH49*AL49*AK49*AJ49*AM49/3600))</f>
        <v/>
      </c>
      <c r="AO49" s="458"/>
    </row>
    <row r="50" spans="1:41" s="7" customFormat="1" ht="14">
      <c r="A50" s="167"/>
      <c r="B50" s="222"/>
      <c r="C50" s="11" t="s">
        <v>17</v>
      </c>
      <c r="D50" s="16" t="s">
        <v>18</v>
      </c>
      <c r="E50" s="8" t="s">
        <v>602</v>
      </c>
      <c r="F50" s="65"/>
      <c r="G50" s="8" t="s">
        <v>602</v>
      </c>
      <c r="H50" s="69"/>
      <c r="I50" s="6" t="s">
        <v>39</v>
      </c>
      <c r="J50" s="224"/>
      <c r="K50" s="11" t="s">
        <v>20</v>
      </c>
      <c r="L50" s="57"/>
      <c r="M50" s="57"/>
      <c r="N50" s="4"/>
      <c r="O50" s="224"/>
      <c r="P50" s="54" t="str">
        <f>IF(O50="","",VLOOKUP(O50,Properties!$B:$E,2,FALSE))</f>
        <v/>
      </c>
      <c r="Q50" s="232" t="e">
        <f>L50*M50*N50*P50*(C$19-D$19)</f>
        <v>#VALUE!</v>
      </c>
      <c r="R50" s="29" t="s">
        <v>29</v>
      </c>
      <c r="S50" s="30"/>
      <c r="T50" s="31" t="s">
        <v>37</v>
      </c>
      <c r="U50" s="486">
        <f>C51-D51</f>
        <v>23</v>
      </c>
      <c r="V50" s="498"/>
      <c r="W50" s="499"/>
      <c r="X50" s="19" t="s">
        <v>14</v>
      </c>
      <c r="Y50" s="22"/>
      <c r="Z50" s="25">
        <f>IF(ISERROR((((F50*F51*F52*Y50)/3600)*1020*(C51-D51)/0.78)),"0",(((F50*F51*F52*Y50)/3600)*1020*(C51-D51)/0.78))</f>
        <v>0</v>
      </c>
      <c r="AA50" s="43" t="str">
        <f>IF(ISERROR(Z50/$Z54),"",(Z50/$Z54))</f>
        <v/>
      </c>
      <c r="AB50" s="459"/>
      <c r="AC50" s="447"/>
      <c r="AD50" s="443"/>
      <c r="AE50" s="502"/>
      <c r="AF50" s="460" t="s">
        <v>200</v>
      </c>
      <c r="AG50" s="461" t="str">
        <f>P54</f>
        <v>0</v>
      </c>
      <c r="AH50" s="462">
        <f>N54</f>
        <v>0</v>
      </c>
      <c r="AI50" s="463">
        <f>O50</f>
        <v>0</v>
      </c>
      <c r="AJ50" s="464" t="str">
        <f>IF(B51="","",VLOOKUP(AI50,Properties!$B:$E,3,FALSE))</f>
        <v/>
      </c>
      <c r="AK50" s="465" t="str">
        <f>IF(B51="","",VLOOKUP(AI50,Properties!B:E,4,FALSE))</f>
        <v/>
      </c>
      <c r="AL50" s="466">
        <v>1.2E-2</v>
      </c>
      <c r="AM50" s="467">
        <f>($C$1-$C$2)/2</f>
        <v>11.5</v>
      </c>
      <c r="AN50" s="468" t="str">
        <f>IF(B51="","",($AH50*AL50*AK50*AJ50*AM50/3600))</f>
        <v/>
      </c>
      <c r="AO50" s="442"/>
    </row>
    <row r="51" spans="1:41" s="7" customFormat="1" ht="14">
      <c r="B51" s="6"/>
      <c r="C51" s="46">
        <f>$C$1</f>
        <v>21</v>
      </c>
      <c r="D51" s="47">
        <f>$C$2</f>
        <v>-2</v>
      </c>
      <c r="E51" s="8" t="s">
        <v>1</v>
      </c>
      <c r="F51" s="57"/>
      <c r="G51" s="8" t="s">
        <v>1</v>
      </c>
      <c r="H51" s="69"/>
      <c r="I51" s="6" t="s">
        <v>3</v>
      </c>
      <c r="J51" s="54" t="str">
        <f>IF(J50="","",VLOOKUP(J50,Properties!$B:$E,2,FALSE))</f>
        <v/>
      </c>
      <c r="K51" s="11" t="s">
        <v>21</v>
      </c>
      <c r="L51" s="57"/>
      <c r="M51" s="57"/>
      <c r="N51" s="4"/>
      <c r="O51" s="33"/>
      <c r="P51" s="54" t="str">
        <f>IF(O51="","",VLOOKUP(O51,Properties!$B:$E,2,FALSE))</f>
        <v/>
      </c>
      <c r="Q51" s="232" t="str">
        <f>IF(ISERROR((L51*M51*N51*P51*(C$19-D$19))),"",((L51*M51*N51*P51*(C$19-D$19))))</f>
        <v/>
      </c>
      <c r="R51" s="8" t="s">
        <v>0</v>
      </c>
      <c r="S51" s="152">
        <f>F52</f>
        <v>0</v>
      </c>
      <c r="T51" s="6"/>
      <c r="U51" s="487"/>
      <c r="V51" s="148" t="str">
        <f>IF(V50="","",VLOOKUP(V50,Properties!$B:$E,2,FALSE))</f>
        <v/>
      </c>
      <c r="W51" s="149" t="str">
        <f>IF(ISERROR(W52/$Z54),"",(W52/$Z54))</f>
        <v/>
      </c>
      <c r="X51" s="19" t="s">
        <v>15</v>
      </c>
      <c r="Y51" s="23"/>
      <c r="Z51" s="25">
        <f>(Y51/0.78)*1020*(C51-D51)*(1-Y52)</f>
        <v>0</v>
      </c>
      <c r="AA51" s="43" t="str">
        <f>IF(ISERROR(Z50/$Z54),"",(Z50/$Z54))</f>
        <v/>
      </c>
      <c r="AB51" s="459"/>
      <c r="AC51" s="469"/>
      <c r="AD51" s="443"/>
      <c r="AE51" s="502"/>
      <c r="AF51" s="460" t="s">
        <v>299</v>
      </c>
      <c r="AG51" s="461">
        <f>Z50</f>
        <v>0</v>
      </c>
      <c r="AH51" s="462"/>
      <c r="AI51" s="463"/>
      <c r="AJ51" s="463"/>
      <c r="AK51" s="463"/>
      <c r="AL51" s="463"/>
      <c r="AM51" s="463"/>
      <c r="AN51" s="470"/>
      <c r="AO51" s="442"/>
    </row>
    <row r="52" spans="1:41" s="2" customFormat="1" ht="14">
      <c r="B52" s="3"/>
      <c r="E52" s="15" t="s">
        <v>0</v>
      </c>
      <c r="F52" s="66"/>
      <c r="G52" s="18"/>
      <c r="H52" s="59"/>
      <c r="I52" s="3" t="s">
        <v>2</v>
      </c>
      <c r="J52" s="225" t="str">
        <f>IF(J50="","",((H51*H50)-N54))</f>
        <v/>
      </c>
      <c r="K52" s="11" t="s">
        <v>22</v>
      </c>
      <c r="L52" s="57"/>
      <c r="M52" s="57"/>
      <c r="N52" s="4"/>
      <c r="O52" s="33"/>
      <c r="P52" s="54" t="str">
        <f>IF(O52="","",VLOOKUP(O52,Properties!$B:$E,2,FALSE))</f>
        <v/>
      </c>
      <c r="Q52" s="232" t="str">
        <f>IF(ISERROR((L52*M52*N52*P52*(C$19-D$19))),"",((L52*M52*N52*P52*(C$19-D$19))))</f>
        <v/>
      </c>
      <c r="R52" s="15" t="s">
        <v>1</v>
      </c>
      <c r="S52" s="153">
        <f>F51</f>
        <v>0</v>
      </c>
      <c r="T52" s="13">
        <f>(S51*S52)</f>
        <v>0</v>
      </c>
      <c r="U52" s="488"/>
      <c r="V52" s="48" t="s">
        <v>30</v>
      </c>
      <c r="W52" s="49" t="str">
        <f>IF(ISERROR(T52*V51*(U50)),"0",T52*V51*(U50))</f>
        <v>0</v>
      </c>
      <c r="X52" s="3" t="s">
        <v>25</v>
      </c>
      <c r="Y52" s="24">
        <v>0.5</v>
      </c>
      <c r="Z52" s="10"/>
      <c r="AB52" s="441"/>
      <c r="AC52" s="469"/>
      <c r="AD52" s="443"/>
      <c r="AE52" s="502"/>
      <c r="AF52" s="460" t="s">
        <v>300</v>
      </c>
      <c r="AG52" s="461">
        <f>Z51</f>
        <v>0</v>
      </c>
      <c r="AH52" s="462"/>
      <c r="AI52" s="463"/>
      <c r="AJ52" s="463"/>
      <c r="AK52" s="463"/>
      <c r="AL52" s="463"/>
      <c r="AM52" s="463"/>
      <c r="AN52" s="470"/>
      <c r="AO52" s="442"/>
    </row>
    <row r="53" spans="1:41" s="2" customFormat="1">
      <c r="B53" s="3"/>
      <c r="F53" s="59"/>
      <c r="G53" s="12"/>
      <c r="H53" s="58"/>
      <c r="I53" s="48" t="s">
        <v>28</v>
      </c>
      <c r="J53" s="49" t="str">
        <f>IF(J50="","0",(J52*J51*(C51-D51)))</f>
        <v>0</v>
      </c>
      <c r="K53" s="11" t="s">
        <v>23</v>
      </c>
      <c r="L53" s="57"/>
      <c r="M53" s="57"/>
      <c r="N53" s="4"/>
      <c r="O53" s="33"/>
      <c r="P53" s="54" t="str">
        <f>IF(O53="","",VLOOKUP(O53,Properties!$B:$E,2,FALSE))</f>
        <v/>
      </c>
      <c r="Q53" s="232" t="str">
        <f>IF(ISERROR((L53*M53*N53*P53*(C$19-D$19))),"",((L53*M53*N53*P53*(C$19-D$19))))</f>
        <v/>
      </c>
      <c r="R53" s="26" t="s">
        <v>6</v>
      </c>
      <c r="S53" s="154"/>
      <c r="T53" s="17" t="s">
        <v>38</v>
      </c>
      <c r="U53" s="486">
        <v>10</v>
      </c>
      <c r="V53" s="500"/>
      <c r="W53" s="501"/>
      <c r="X53" s="9"/>
      <c r="Y53" s="52" t="s">
        <v>26</v>
      </c>
      <c r="Z53" s="51">
        <f>Z50+Z51</f>
        <v>0</v>
      </c>
      <c r="AB53" s="441"/>
      <c r="AC53" s="469"/>
      <c r="AD53" s="443"/>
      <c r="AE53" s="502"/>
      <c r="AF53" s="460" t="s">
        <v>283</v>
      </c>
      <c r="AG53" s="461" t="str">
        <f>W52</f>
        <v>0</v>
      </c>
      <c r="AH53" s="462">
        <f>T52</f>
        <v>0</v>
      </c>
      <c r="AI53" s="463">
        <f>V50</f>
        <v>0</v>
      </c>
      <c r="AJ53" s="464" t="str">
        <f>IF(B54="","",VLOOKUP(AI53,Properties!$B:$E,3,FALSE))</f>
        <v/>
      </c>
      <c r="AK53" s="465" t="str">
        <f>IF(B54="","",VLOOKUP(AI53,Properties!B:E,4,FALSE))</f>
        <v/>
      </c>
      <c r="AL53" s="466">
        <v>0.3</v>
      </c>
      <c r="AM53" s="467">
        <f>($C$1-$C$2)/2</f>
        <v>11.5</v>
      </c>
      <c r="AN53" s="468" t="str">
        <f>IF(B54="","",($AH53*AL53*AK53*AJ53*AM53/3600))</f>
        <v/>
      </c>
      <c r="AO53" s="442"/>
    </row>
    <row r="54" spans="1:41" s="2" customFormat="1" ht="12.75" customHeight="1">
      <c r="B54" s="3"/>
      <c r="F54" s="59"/>
      <c r="H54" s="59"/>
      <c r="I54" s="14"/>
      <c r="J54" s="27" t="str">
        <f>IF(ISERROR(J53/$Z54),"",(J53/$Z54))</f>
        <v/>
      </c>
      <c r="K54" s="20" t="s">
        <v>8</v>
      </c>
      <c r="L54" s="58" t="s">
        <v>16</v>
      </c>
      <c r="M54" s="58" t="s">
        <v>9</v>
      </c>
      <c r="N54" s="227">
        <f>(L50*M50*N50)+(L51*M51*N51)+(L52*M52*N52)+(L53*M53*N53)</f>
        <v>0</v>
      </c>
      <c r="O54" s="50" t="s">
        <v>27</v>
      </c>
      <c r="P54" s="51" t="str">
        <f>IF(O50="","0",SUM(Q50:Q53))</f>
        <v>0</v>
      </c>
      <c r="Q54" s="233"/>
      <c r="R54" s="8" t="s">
        <v>0</v>
      </c>
      <c r="S54" s="152">
        <f>S51</f>
        <v>0</v>
      </c>
      <c r="T54" s="6" t="s">
        <v>3</v>
      </c>
      <c r="U54" s="487"/>
      <c r="V54" s="34" t="str">
        <f>IF(V53="","",VLOOKUP(V53,Properties!$B:$E,2,FALSE))</f>
        <v/>
      </c>
      <c r="W54" s="32" t="str">
        <f>IF(ISERROR(W55/$Z54),"",(W55/$Z54))</f>
        <v/>
      </c>
      <c r="X54" s="490" t="s">
        <v>32</v>
      </c>
      <c r="Y54" s="490"/>
      <c r="Z54" s="53">
        <f>IF(ISERROR(J53+P54+Z53+W52+W55),"",(J53+P54+Z53+W52+W55))</f>
        <v>0</v>
      </c>
      <c r="AA54" s="77" t="str">
        <f>IF(B50="","",(AA55*F50))</f>
        <v/>
      </c>
      <c r="AB54" s="471"/>
      <c r="AC54" s="472">
        <f>SUM(AG49:AG54)</f>
        <v>0</v>
      </c>
      <c r="AD54" s="443"/>
      <c r="AE54" s="502"/>
      <c r="AF54" s="473" t="s">
        <v>286</v>
      </c>
      <c r="AG54" s="474" t="str">
        <f>W55</f>
        <v>0</v>
      </c>
      <c r="AH54" s="475">
        <f>T55</f>
        <v>0</v>
      </c>
      <c r="AI54" s="476">
        <f>V53</f>
        <v>0</v>
      </c>
      <c r="AJ54" s="477" t="str">
        <f>IF(B55="","",VLOOKUP(AI54,Properties!$B:$E,3,FALSE))</f>
        <v/>
      </c>
      <c r="AK54" s="478" t="str">
        <f>IF(B55="","",VLOOKUP(AI54,Properties!B:E,4,FALSE))</f>
        <v/>
      </c>
      <c r="AL54" s="479">
        <v>0.3</v>
      </c>
      <c r="AM54" s="480">
        <f>($C$1-$C$2)/2</f>
        <v>11.5</v>
      </c>
      <c r="AN54" s="481" t="str">
        <f>IF(B55="","",($AH54*AL54*AK54*AJ54*AM54/3600))</f>
        <v/>
      </c>
      <c r="AO54" s="482"/>
    </row>
    <row r="55" spans="1:41" s="2" customFormat="1" ht="12.75" customHeight="1">
      <c r="B55" s="3"/>
      <c r="F55" s="59"/>
      <c r="H55" s="59"/>
      <c r="L55" s="59"/>
      <c r="M55" s="59"/>
      <c r="O55" s="55" t="str">
        <f>IF(ISERROR(100*N54/(H50*H51)),"",(100*N54/(H50*H51)))</f>
        <v/>
      </c>
      <c r="P55" s="28" t="str">
        <f>IF(ISERROR(P54/$Z54),"",(P54/$Z54))</f>
        <v/>
      </c>
      <c r="Q55" s="45"/>
      <c r="R55" s="15" t="s">
        <v>1</v>
      </c>
      <c r="S55" s="153">
        <f>S52</f>
        <v>0</v>
      </c>
      <c r="T55" s="13">
        <f>(S54*S55)</f>
        <v>0</v>
      </c>
      <c r="U55" s="488"/>
      <c r="V55" s="48" t="s">
        <v>34</v>
      </c>
      <c r="W55" s="49" t="str">
        <f>IF(ISERROR(T55*V54*(U53)),"0",T55*V54*(U53))</f>
        <v>0</v>
      </c>
      <c r="X55" s="489" t="s">
        <v>31</v>
      </c>
      <c r="Y55" s="489"/>
      <c r="Z55" s="53">
        <f>IF(ISERROR(Z54*(1+$C$3)),"",(Z54*(1+$C$3)))</f>
        <v>0</v>
      </c>
      <c r="AA55" s="76" t="str">
        <f>IF(B50="","",(Z55/(F50*F51*F52)))</f>
        <v/>
      </c>
      <c r="AB55" s="471">
        <f>F51*F52</f>
        <v>0</v>
      </c>
      <c r="AC55" s="442"/>
      <c r="AD55" s="443"/>
      <c r="AE55" s="443"/>
      <c r="AF55" s="483"/>
      <c r="AG55" s="483"/>
      <c r="AH55" s="483"/>
      <c r="AI55" s="484"/>
      <c r="AJ55" s="485"/>
      <c r="AK55" s="485"/>
      <c r="AL55" s="466"/>
      <c r="AM55" s="483"/>
      <c r="AN55" s="442"/>
      <c r="AO55" s="442"/>
    </row>
    <row r="56" spans="1:41" s="61" customFormat="1" ht="14" thickBot="1">
      <c r="B56" s="60"/>
      <c r="E56" s="62"/>
      <c r="F56" s="67"/>
      <c r="G56" s="62"/>
      <c r="H56" s="67"/>
      <c r="I56" s="62"/>
      <c r="J56" s="62"/>
      <c r="L56" s="63"/>
      <c r="M56" s="63"/>
      <c r="Q56" s="72"/>
      <c r="AB56" s="436"/>
      <c r="AC56" s="437"/>
      <c r="AD56" s="438"/>
      <c r="AE56" s="438"/>
      <c r="AF56" s="437"/>
      <c r="AG56" s="437"/>
      <c r="AH56" s="437"/>
      <c r="AI56" s="439"/>
      <c r="AJ56" s="438"/>
      <c r="AK56" s="438"/>
      <c r="AL56" s="438"/>
      <c r="AM56" s="437"/>
      <c r="AN56" s="437"/>
      <c r="AO56" s="437"/>
    </row>
    <row r="57" spans="1:41" s="21" customFormat="1" ht="14" thickBot="1">
      <c r="A57" s="166" t="s">
        <v>35</v>
      </c>
      <c r="B57" s="100" t="s">
        <v>7</v>
      </c>
      <c r="C57" s="495" t="s">
        <v>36</v>
      </c>
      <c r="D57" s="496"/>
      <c r="E57" s="495" t="s">
        <v>5</v>
      </c>
      <c r="F57" s="497"/>
      <c r="G57" s="37" t="s">
        <v>10</v>
      </c>
      <c r="H57" s="70"/>
      <c r="I57" s="101"/>
      <c r="J57" s="101"/>
      <c r="K57" s="37" t="s">
        <v>19</v>
      </c>
      <c r="L57" s="226" t="s">
        <v>602</v>
      </c>
      <c r="M57" s="226" t="s">
        <v>1</v>
      </c>
      <c r="N57" s="39" t="s">
        <v>603</v>
      </c>
      <c r="O57" s="40" t="s">
        <v>4</v>
      </c>
      <c r="P57" s="41" t="s">
        <v>3</v>
      </c>
      <c r="Q57" s="231"/>
      <c r="R57" s="37" t="s">
        <v>33</v>
      </c>
      <c r="S57" s="38"/>
      <c r="T57" s="101"/>
      <c r="U57" s="162"/>
      <c r="V57" s="101"/>
      <c r="W57" s="101"/>
      <c r="X57" s="37" t="s">
        <v>24</v>
      </c>
      <c r="Y57" s="101"/>
      <c r="Z57" s="42"/>
      <c r="AB57" s="446"/>
      <c r="AC57" s="447"/>
      <c r="AD57" s="448"/>
      <c r="AE57" s="502">
        <f>B58</f>
        <v>0</v>
      </c>
      <c r="AF57" s="449" t="s">
        <v>285</v>
      </c>
      <c r="AG57" s="450" t="str">
        <f>J61</f>
        <v>0</v>
      </c>
      <c r="AH57" s="451" t="str">
        <f>J60</f>
        <v/>
      </c>
      <c r="AI57" s="452">
        <f>J58</f>
        <v>0</v>
      </c>
      <c r="AJ57" s="453" t="str">
        <f>IF(B58="","",VLOOKUP(AI57,Properties!$B:$E,3,FALSE))</f>
        <v/>
      </c>
      <c r="AK57" s="454" t="str">
        <f>IF(B58="","",VLOOKUP(AI57,Properties!B:E,4,FALSE))</f>
        <v/>
      </c>
      <c r="AL57" s="455">
        <v>0.2</v>
      </c>
      <c r="AM57" s="456">
        <f>($C$1-$C$2)/2</f>
        <v>11.5</v>
      </c>
      <c r="AN57" s="457" t="str">
        <f>IF(B58="","",($AH57*AL57*AK57*AJ57*AM57/3600))</f>
        <v/>
      </c>
      <c r="AO57" s="458"/>
    </row>
    <row r="58" spans="1:41" s="7" customFormat="1" ht="14">
      <c r="A58" s="167"/>
      <c r="B58" s="161"/>
      <c r="C58" s="11" t="s">
        <v>17</v>
      </c>
      <c r="D58" s="16" t="s">
        <v>18</v>
      </c>
      <c r="E58" s="8" t="s">
        <v>602</v>
      </c>
      <c r="F58" s="65"/>
      <c r="G58" s="8" t="s">
        <v>602</v>
      </c>
      <c r="H58" s="69"/>
      <c r="I58" s="6" t="s">
        <v>39</v>
      </c>
      <c r="J58" s="224"/>
      <c r="K58" s="11" t="s">
        <v>20</v>
      </c>
      <c r="L58" s="57"/>
      <c r="M58" s="57"/>
      <c r="N58" s="4"/>
      <c r="O58" s="224"/>
      <c r="P58" s="54" t="str">
        <f>IF(O58="","",VLOOKUP(O58,Properties!$B:$E,2,FALSE))</f>
        <v/>
      </c>
      <c r="Q58" s="232" t="e">
        <f>L58*M58*N58*P58*(C$19-D$19)</f>
        <v>#VALUE!</v>
      </c>
      <c r="R58" s="29" t="s">
        <v>29</v>
      </c>
      <c r="S58" s="30"/>
      <c r="T58" s="31" t="s">
        <v>37</v>
      </c>
      <c r="U58" s="486">
        <f>C59-D59</f>
        <v>23</v>
      </c>
      <c r="V58" s="498"/>
      <c r="W58" s="499"/>
      <c r="X58" s="19" t="s">
        <v>14</v>
      </c>
      <c r="Y58" s="22"/>
      <c r="Z58" s="25">
        <f>IF(ISERROR((((F58*F59*F60*Y58)/3600)*1020*(C59-D59)/0.78)),"0",(((F58*F59*F60*Y58)/3600)*1020*(C59-D59)/0.78))</f>
        <v>0</v>
      </c>
      <c r="AA58" s="43" t="str">
        <f>IF(ISERROR(Z58/$Z62),"",(Z58/$Z62))</f>
        <v/>
      </c>
      <c r="AB58" s="459"/>
      <c r="AC58" s="447"/>
      <c r="AD58" s="443"/>
      <c r="AE58" s="502"/>
      <c r="AF58" s="460" t="s">
        <v>200</v>
      </c>
      <c r="AG58" s="461" t="str">
        <f>P62</f>
        <v>0</v>
      </c>
      <c r="AH58" s="462">
        <f>N62</f>
        <v>0</v>
      </c>
      <c r="AI58" s="463">
        <f>O58</f>
        <v>0</v>
      </c>
      <c r="AJ58" s="464" t="str">
        <f>IF(B59="","",VLOOKUP(AI58,Properties!$B:$E,3,FALSE))</f>
        <v/>
      </c>
      <c r="AK58" s="465" t="str">
        <f>IF(B59="","",VLOOKUP(AI58,Properties!B:E,4,FALSE))</f>
        <v/>
      </c>
      <c r="AL58" s="466">
        <v>1.2E-2</v>
      </c>
      <c r="AM58" s="467">
        <f>($C$1-$C$2)/2</f>
        <v>11.5</v>
      </c>
      <c r="AN58" s="468" t="str">
        <f>IF(B59="","",($AH58*AL58*AK58*AJ58*AM58/3600))</f>
        <v/>
      </c>
      <c r="AO58" s="442"/>
    </row>
    <row r="59" spans="1:41" s="7" customFormat="1" ht="14">
      <c r="B59" s="6"/>
      <c r="C59" s="46">
        <f>$C$1</f>
        <v>21</v>
      </c>
      <c r="D59" s="47">
        <f>$C$2</f>
        <v>-2</v>
      </c>
      <c r="E59" s="8" t="s">
        <v>1</v>
      </c>
      <c r="F59" s="57"/>
      <c r="G59" s="8" t="s">
        <v>1</v>
      </c>
      <c r="H59" s="69"/>
      <c r="I59" s="6" t="s">
        <v>3</v>
      </c>
      <c r="J59" s="54" t="str">
        <f>IF(J58="","",VLOOKUP(J58,Properties!$B:$E,2,FALSE))</f>
        <v/>
      </c>
      <c r="K59" s="11" t="s">
        <v>21</v>
      </c>
      <c r="L59" s="57"/>
      <c r="M59" s="57"/>
      <c r="N59" s="4"/>
      <c r="O59" s="33"/>
      <c r="P59" s="54" t="str">
        <f>IF(O59="","",VLOOKUP(O59,Properties!$B:$E,2,FALSE))</f>
        <v/>
      </c>
      <c r="Q59" s="232" t="str">
        <f>IF(ISERROR((L59*M59*N59*P59*(C$19-D$19))),"",((L59*M59*N59*P59*(C$19-D$19))))</f>
        <v/>
      </c>
      <c r="R59" s="8" t="s">
        <v>0</v>
      </c>
      <c r="S59" s="152">
        <f>F60</f>
        <v>0</v>
      </c>
      <c r="T59" s="6"/>
      <c r="U59" s="487"/>
      <c r="V59" s="148" t="str">
        <f>IF(V58="","",VLOOKUP(V58,Properties!$B:$E,2,FALSE))</f>
        <v/>
      </c>
      <c r="W59" s="149" t="str">
        <f>IF(ISERROR(W60/$Z62),"",(W60/$Z62))</f>
        <v/>
      </c>
      <c r="X59" s="19" t="s">
        <v>15</v>
      </c>
      <c r="Y59" s="23"/>
      <c r="Z59" s="25">
        <f>(Y59/0.78)*1020*(C59-D59)*(1-Y60)</f>
        <v>0</v>
      </c>
      <c r="AA59" s="43" t="str">
        <f>IF(ISERROR(Z58/$Z62),"",(Z58/$Z62))</f>
        <v/>
      </c>
      <c r="AB59" s="459"/>
      <c r="AC59" s="469"/>
      <c r="AD59" s="443"/>
      <c r="AE59" s="502"/>
      <c r="AF59" s="460" t="s">
        <v>299</v>
      </c>
      <c r="AG59" s="461">
        <f>Z58</f>
        <v>0</v>
      </c>
      <c r="AH59" s="462"/>
      <c r="AI59" s="463"/>
      <c r="AJ59" s="463"/>
      <c r="AK59" s="463"/>
      <c r="AL59" s="463"/>
      <c r="AM59" s="463"/>
      <c r="AN59" s="470"/>
      <c r="AO59" s="442"/>
    </row>
    <row r="60" spans="1:41" s="2" customFormat="1" ht="14">
      <c r="B60" s="3"/>
      <c r="E60" s="15" t="s">
        <v>0</v>
      </c>
      <c r="F60" s="66"/>
      <c r="G60" s="18"/>
      <c r="H60" s="59"/>
      <c r="I60" s="3" t="s">
        <v>2</v>
      </c>
      <c r="J60" s="225" t="str">
        <f>IF(J58="","",((H59*H58)-N62))</f>
        <v/>
      </c>
      <c r="K60" s="11" t="s">
        <v>22</v>
      </c>
      <c r="L60" s="57"/>
      <c r="M60" s="57"/>
      <c r="N60" s="4"/>
      <c r="O60" s="33"/>
      <c r="P60" s="54" t="str">
        <f>IF(O60="","",VLOOKUP(O60,Properties!$B:$E,2,FALSE))</f>
        <v/>
      </c>
      <c r="Q60" s="232" t="str">
        <f>IF(ISERROR((L60*M60*N60*P60*(C$19-D$19))),"",((L60*M60*N60*P60*(C$19-D$19))))</f>
        <v/>
      </c>
      <c r="R60" s="15" t="s">
        <v>1</v>
      </c>
      <c r="S60" s="153">
        <f>F59</f>
        <v>0</v>
      </c>
      <c r="T60" s="13">
        <f>(S59*S60)</f>
        <v>0</v>
      </c>
      <c r="U60" s="488"/>
      <c r="V60" s="48" t="s">
        <v>30</v>
      </c>
      <c r="W60" s="49" t="str">
        <f>IF(ISERROR(T60*V59*(U58)),"0",T60*V59*(U58))</f>
        <v>0</v>
      </c>
      <c r="X60" s="3" t="s">
        <v>25</v>
      </c>
      <c r="Y60" s="24">
        <v>0.5</v>
      </c>
      <c r="Z60" s="10"/>
      <c r="AB60" s="441"/>
      <c r="AC60" s="469"/>
      <c r="AD60" s="443"/>
      <c r="AE60" s="502"/>
      <c r="AF60" s="460" t="s">
        <v>300</v>
      </c>
      <c r="AG60" s="461">
        <f>Z59</f>
        <v>0</v>
      </c>
      <c r="AH60" s="462"/>
      <c r="AI60" s="463"/>
      <c r="AJ60" s="463"/>
      <c r="AK60" s="463"/>
      <c r="AL60" s="463"/>
      <c r="AM60" s="463"/>
      <c r="AN60" s="470"/>
      <c r="AO60" s="442"/>
    </row>
    <row r="61" spans="1:41" s="2" customFormat="1">
      <c r="B61" s="3"/>
      <c r="F61" s="59"/>
      <c r="G61" s="12"/>
      <c r="H61" s="58"/>
      <c r="I61" s="48" t="s">
        <v>28</v>
      </c>
      <c r="J61" s="49" t="str">
        <f>IF(J58="","0",(J60*J59*(C59-D59)))</f>
        <v>0</v>
      </c>
      <c r="K61" s="11" t="s">
        <v>23</v>
      </c>
      <c r="L61" s="57"/>
      <c r="M61" s="57"/>
      <c r="N61" s="4"/>
      <c r="O61" s="33"/>
      <c r="P61" s="54" t="str">
        <f>IF(O61="","",VLOOKUP(O61,Properties!$B:$E,2,FALSE))</f>
        <v/>
      </c>
      <c r="Q61" s="232" t="str">
        <f>IF(ISERROR((L61*M61*N61*P61*(C$19-D$19))),"",((L61*M61*N61*P61*(C$19-D$19))))</f>
        <v/>
      </c>
      <c r="R61" s="26" t="s">
        <v>6</v>
      </c>
      <c r="S61" s="154"/>
      <c r="T61" s="17" t="s">
        <v>38</v>
      </c>
      <c r="U61" s="486">
        <v>10</v>
      </c>
      <c r="V61" s="500"/>
      <c r="W61" s="501"/>
      <c r="X61" s="9"/>
      <c r="Y61" s="52" t="s">
        <v>26</v>
      </c>
      <c r="Z61" s="51">
        <f>Z58+Z59</f>
        <v>0</v>
      </c>
      <c r="AB61" s="441"/>
      <c r="AC61" s="469"/>
      <c r="AD61" s="443"/>
      <c r="AE61" s="502"/>
      <c r="AF61" s="460" t="s">
        <v>283</v>
      </c>
      <c r="AG61" s="461" t="str">
        <f>W60</f>
        <v>0</v>
      </c>
      <c r="AH61" s="462">
        <f>T60</f>
        <v>0</v>
      </c>
      <c r="AI61" s="463">
        <f>V58</f>
        <v>0</v>
      </c>
      <c r="AJ61" s="464" t="str">
        <f>IF(B62="","",VLOOKUP(AI61,Properties!$B:$E,3,FALSE))</f>
        <v/>
      </c>
      <c r="AK61" s="465" t="str">
        <f>IF(B62="","",VLOOKUP(AI61,Properties!B:E,4,FALSE))</f>
        <v/>
      </c>
      <c r="AL61" s="466">
        <v>0.3</v>
      </c>
      <c r="AM61" s="467">
        <f>($C$1-$C$2)/2</f>
        <v>11.5</v>
      </c>
      <c r="AN61" s="468" t="str">
        <f>IF(B62="","",($AH61*AL61*AK61*AJ61*AM61/3600))</f>
        <v/>
      </c>
      <c r="AO61" s="442"/>
    </row>
    <row r="62" spans="1:41" s="2" customFormat="1" ht="12.75" customHeight="1">
      <c r="B62" s="3"/>
      <c r="F62" s="59"/>
      <c r="H62" s="59"/>
      <c r="I62" s="14"/>
      <c r="J62" s="27" t="str">
        <f>IF(ISERROR(J61/$Z62),"",(J61/$Z62))</f>
        <v/>
      </c>
      <c r="K62" s="20" t="s">
        <v>8</v>
      </c>
      <c r="L62" s="58" t="s">
        <v>16</v>
      </c>
      <c r="M62" s="58" t="s">
        <v>9</v>
      </c>
      <c r="N62" s="227">
        <f>(L58*M58*N58)+(L59*M59*N59)+(L60*M60*N60)+(L61*M61*N61)</f>
        <v>0</v>
      </c>
      <c r="O62" s="50" t="s">
        <v>27</v>
      </c>
      <c r="P62" s="51" t="str">
        <f>IF(O58="","0",SUM(Q58:Q61))</f>
        <v>0</v>
      </c>
      <c r="Q62" s="233"/>
      <c r="R62" s="8" t="s">
        <v>0</v>
      </c>
      <c r="S62" s="152">
        <f>S59</f>
        <v>0</v>
      </c>
      <c r="T62" s="6" t="s">
        <v>3</v>
      </c>
      <c r="U62" s="487"/>
      <c r="V62" s="34" t="str">
        <f>IF(V61="","",VLOOKUP(V61,Properties!$B:$E,2,FALSE))</f>
        <v/>
      </c>
      <c r="W62" s="32" t="str">
        <f>IF(ISERROR(W63/$Z62),"",(W63/$Z62))</f>
        <v/>
      </c>
      <c r="X62" s="490" t="s">
        <v>32</v>
      </c>
      <c r="Y62" s="490"/>
      <c r="Z62" s="53">
        <f>IF(ISERROR(J61+P62+Z61+W60+W63),"",(J61+P62+Z61+W60+W63))</f>
        <v>0</v>
      </c>
      <c r="AA62" s="77" t="str">
        <f>IF(B58="","",(AA63*F58))</f>
        <v/>
      </c>
      <c r="AB62" s="471"/>
      <c r="AC62" s="472">
        <f>SUM(AG57:AG62)</f>
        <v>0</v>
      </c>
      <c r="AD62" s="443"/>
      <c r="AE62" s="502"/>
      <c r="AF62" s="473" t="s">
        <v>286</v>
      </c>
      <c r="AG62" s="474" t="str">
        <f>W63</f>
        <v>0</v>
      </c>
      <c r="AH62" s="475">
        <f>T63</f>
        <v>0</v>
      </c>
      <c r="AI62" s="476">
        <f>V61</f>
        <v>0</v>
      </c>
      <c r="AJ62" s="477" t="str">
        <f>IF(B63="","",VLOOKUP(AI62,Properties!$B:$E,3,FALSE))</f>
        <v/>
      </c>
      <c r="AK62" s="478" t="str">
        <f>IF(B63="","",VLOOKUP(AI62,Properties!B:E,4,FALSE))</f>
        <v/>
      </c>
      <c r="AL62" s="479">
        <v>0.3</v>
      </c>
      <c r="AM62" s="480">
        <f>($C$1-$C$2)/2</f>
        <v>11.5</v>
      </c>
      <c r="AN62" s="481" t="str">
        <f>IF(B63="","",($AH62*AL62*AK62*AJ62*AM62/3600))</f>
        <v/>
      </c>
      <c r="AO62" s="482"/>
    </row>
    <row r="63" spans="1:41" s="2" customFormat="1" ht="12.75" customHeight="1">
      <c r="B63" s="3"/>
      <c r="F63" s="59"/>
      <c r="H63" s="59"/>
      <c r="L63" s="59"/>
      <c r="M63" s="59"/>
      <c r="O63" s="55" t="str">
        <f>IF(ISERROR(100*N62/(H58*H59)),"",(100*N62/(H58*H59)))</f>
        <v/>
      </c>
      <c r="P63" s="28" t="str">
        <f>IF(ISERROR(P62/$Z62),"",(P62/$Z62))</f>
        <v/>
      </c>
      <c r="Q63" s="45"/>
      <c r="R63" s="15" t="s">
        <v>1</v>
      </c>
      <c r="S63" s="153">
        <f>S60</f>
        <v>0</v>
      </c>
      <c r="T63" s="13">
        <f>(S62*S63)</f>
        <v>0</v>
      </c>
      <c r="U63" s="488"/>
      <c r="V63" s="48" t="s">
        <v>34</v>
      </c>
      <c r="W63" s="49" t="str">
        <f>IF(ISERROR(T63*V62*(U61)),"0",T63*V62*(U61))</f>
        <v>0</v>
      </c>
      <c r="X63" s="489" t="s">
        <v>31</v>
      </c>
      <c r="Y63" s="489"/>
      <c r="Z63" s="53">
        <f>IF(ISERROR(Z62*(1+$C$3)),"",(Z62*(1+$C$3)))</f>
        <v>0</v>
      </c>
      <c r="AA63" s="76" t="str">
        <f>IF(B58="","",(Z63/(F58*F59*F60)))</f>
        <v/>
      </c>
      <c r="AB63" s="471">
        <f>F59*F60</f>
        <v>0</v>
      </c>
      <c r="AC63" s="442"/>
      <c r="AD63" s="443"/>
      <c r="AE63" s="443"/>
      <c r="AF63" s="483"/>
      <c r="AG63" s="483"/>
      <c r="AH63" s="483"/>
      <c r="AI63" s="484"/>
      <c r="AJ63" s="485"/>
      <c r="AK63" s="485"/>
      <c r="AL63" s="466"/>
      <c r="AM63" s="483"/>
      <c r="AN63" s="442"/>
      <c r="AO63" s="442"/>
    </row>
    <row r="64" spans="1:41" s="61" customFormat="1" ht="14" thickBot="1">
      <c r="B64" s="60"/>
      <c r="E64" s="62"/>
      <c r="F64" s="67"/>
      <c r="G64" s="62"/>
      <c r="H64" s="67"/>
      <c r="I64" s="62"/>
      <c r="J64" s="62"/>
      <c r="L64" s="63"/>
      <c r="M64" s="63"/>
      <c r="Q64" s="72"/>
      <c r="AB64" s="436"/>
      <c r="AC64" s="437"/>
      <c r="AD64" s="438"/>
      <c r="AE64" s="438"/>
      <c r="AF64" s="437"/>
      <c r="AG64" s="437"/>
      <c r="AH64" s="437"/>
      <c r="AI64" s="439"/>
      <c r="AJ64" s="438"/>
      <c r="AK64" s="438"/>
      <c r="AL64" s="438"/>
      <c r="AM64" s="437"/>
      <c r="AN64" s="437"/>
      <c r="AO64" s="437"/>
    </row>
    <row r="65" spans="1:41" s="21" customFormat="1" ht="14" thickBot="1">
      <c r="A65" s="166" t="s">
        <v>35</v>
      </c>
      <c r="B65" s="100" t="s">
        <v>7</v>
      </c>
      <c r="C65" s="495" t="s">
        <v>36</v>
      </c>
      <c r="D65" s="496"/>
      <c r="E65" s="495" t="s">
        <v>5</v>
      </c>
      <c r="F65" s="497"/>
      <c r="G65" s="37" t="s">
        <v>10</v>
      </c>
      <c r="H65" s="70"/>
      <c r="I65" s="101"/>
      <c r="J65" s="101"/>
      <c r="K65" s="37" t="s">
        <v>19</v>
      </c>
      <c r="L65" s="226" t="s">
        <v>602</v>
      </c>
      <c r="M65" s="226" t="s">
        <v>1</v>
      </c>
      <c r="N65" s="39" t="s">
        <v>603</v>
      </c>
      <c r="O65" s="40" t="s">
        <v>4</v>
      </c>
      <c r="P65" s="41" t="s">
        <v>3</v>
      </c>
      <c r="Q65" s="231"/>
      <c r="R65" s="37" t="s">
        <v>33</v>
      </c>
      <c r="S65" s="38"/>
      <c r="T65" s="101"/>
      <c r="U65" s="162"/>
      <c r="V65" s="101"/>
      <c r="W65" s="101"/>
      <c r="X65" s="37" t="s">
        <v>24</v>
      </c>
      <c r="Y65" s="101"/>
      <c r="Z65" s="42"/>
      <c r="AB65" s="446"/>
      <c r="AC65" s="447"/>
      <c r="AD65" s="448"/>
      <c r="AE65" s="502">
        <f>B66</f>
        <v>0</v>
      </c>
      <c r="AF65" s="449" t="s">
        <v>285</v>
      </c>
      <c r="AG65" s="450" t="str">
        <f>J69</f>
        <v>0</v>
      </c>
      <c r="AH65" s="451" t="str">
        <f>J68</f>
        <v/>
      </c>
      <c r="AI65" s="452">
        <f>J66</f>
        <v>0</v>
      </c>
      <c r="AJ65" s="453" t="str">
        <f>IF(B66="","",VLOOKUP(AI65,Properties!$B:$E,3,FALSE))</f>
        <v/>
      </c>
      <c r="AK65" s="454" t="str">
        <f>IF(B66="","",VLOOKUP(AI65,Properties!B:E,4,FALSE))</f>
        <v/>
      </c>
      <c r="AL65" s="455">
        <v>0.2</v>
      </c>
      <c r="AM65" s="456">
        <f>($C$1-$C$2)/2</f>
        <v>11.5</v>
      </c>
      <c r="AN65" s="457" t="str">
        <f>IF(B66="","",($AH65*AL65*AK65*AJ65*AM65/3600))</f>
        <v/>
      </c>
      <c r="AO65" s="458"/>
    </row>
    <row r="66" spans="1:41" s="7" customFormat="1" ht="14">
      <c r="A66" s="167"/>
      <c r="B66" s="161"/>
      <c r="C66" s="11" t="s">
        <v>17</v>
      </c>
      <c r="D66" s="16" t="s">
        <v>18</v>
      </c>
      <c r="E66" s="8" t="s">
        <v>602</v>
      </c>
      <c r="F66" s="65"/>
      <c r="G66" s="8" t="s">
        <v>602</v>
      </c>
      <c r="H66" s="69"/>
      <c r="I66" s="6" t="s">
        <v>39</v>
      </c>
      <c r="J66" s="224"/>
      <c r="K66" s="11" t="s">
        <v>20</v>
      </c>
      <c r="L66" s="57"/>
      <c r="M66" s="57"/>
      <c r="N66" s="4"/>
      <c r="O66" s="224"/>
      <c r="P66" s="54" t="str">
        <f>IF(O66="","",VLOOKUP(O66,Properties!$B:$E,2,FALSE))</f>
        <v/>
      </c>
      <c r="Q66" s="232" t="e">
        <f>L66*M66*N66*P66*(C$19-D$19)</f>
        <v>#VALUE!</v>
      </c>
      <c r="R66" s="29" t="s">
        <v>29</v>
      </c>
      <c r="S66" s="30"/>
      <c r="T66" s="31" t="s">
        <v>37</v>
      </c>
      <c r="U66" s="486">
        <f>C67-D67</f>
        <v>23</v>
      </c>
      <c r="V66" s="498"/>
      <c r="W66" s="499"/>
      <c r="X66" s="19" t="s">
        <v>14</v>
      </c>
      <c r="Y66" s="22"/>
      <c r="Z66" s="25">
        <f>IF(ISERROR((((F66*F67*F68*Y66)/3600)*1020*(C67-D67)/0.78)),"0",(((F66*F67*F68*Y66)/3600)*1020*(C67-D67)/0.78))</f>
        <v>0</v>
      </c>
      <c r="AA66" s="43" t="str">
        <f>IF(ISERROR(Z66/$Z70),"",(Z66/$Z70))</f>
        <v/>
      </c>
      <c r="AB66" s="459"/>
      <c r="AC66" s="447"/>
      <c r="AD66" s="443"/>
      <c r="AE66" s="502"/>
      <c r="AF66" s="460" t="s">
        <v>200</v>
      </c>
      <c r="AG66" s="461" t="str">
        <f>P70</f>
        <v>0</v>
      </c>
      <c r="AH66" s="462">
        <f>N70</f>
        <v>0</v>
      </c>
      <c r="AI66" s="463">
        <f>O66</f>
        <v>0</v>
      </c>
      <c r="AJ66" s="464" t="str">
        <f>IF(B67="","",VLOOKUP(AI66,Properties!$B:$E,3,FALSE))</f>
        <v/>
      </c>
      <c r="AK66" s="465" t="str">
        <f>IF(B67="","",VLOOKUP(AI66,Properties!B:E,4,FALSE))</f>
        <v/>
      </c>
      <c r="AL66" s="466">
        <v>1.2E-2</v>
      </c>
      <c r="AM66" s="467">
        <f>($C$1-$C$2)/2</f>
        <v>11.5</v>
      </c>
      <c r="AN66" s="468" t="str">
        <f>IF(B67="","",($AH66*AL66*AK66*AJ66*AM66/3600))</f>
        <v/>
      </c>
      <c r="AO66" s="442"/>
    </row>
    <row r="67" spans="1:41" s="7" customFormat="1" ht="14">
      <c r="B67" s="6"/>
      <c r="C67" s="46">
        <f>$C$1</f>
        <v>21</v>
      </c>
      <c r="D67" s="47">
        <f>$C$2</f>
        <v>-2</v>
      </c>
      <c r="E67" s="8" t="s">
        <v>1</v>
      </c>
      <c r="F67" s="57"/>
      <c r="G67" s="8" t="s">
        <v>1</v>
      </c>
      <c r="H67" s="69"/>
      <c r="I67" s="6" t="s">
        <v>3</v>
      </c>
      <c r="J67" s="54" t="str">
        <f>IF(J66="","",VLOOKUP(J66,Properties!$B:$E,2,FALSE))</f>
        <v/>
      </c>
      <c r="K67" s="11" t="s">
        <v>21</v>
      </c>
      <c r="L67" s="57"/>
      <c r="M67" s="57"/>
      <c r="N67" s="4"/>
      <c r="O67" s="33"/>
      <c r="P67" s="54" t="str">
        <f>IF(O67="","",VLOOKUP(O67,Properties!$B:$E,2,FALSE))</f>
        <v/>
      </c>
      <c r="Q67" s="232" t="str">
        <f>IF(ISERROR((L67*M67*N67*P67*(C$19-D$19))),"",((L67*M67*N67*P67*(C$19-D$19))))</f>
        <v/>
      </c>
      <c r="R67" s="8" t="s">
        <v>0</v>
      </c>
      <c r="S67" s="152">
        <f>F68</f>
        <v>0</v>
      </c>
      <c r="T67" s="6"/>
      <c r="U67" s="487"/>
      <c r="V67" s="148" t="str">
        <f>IF(V66="","",VLOOKUP(V66,Properties!$B:$E,2,FALSE))</f>
        <v/>
      </c>
      <c r="W67" s="149" t="str">
        <f>IF(ISERROR(W68/$Z70),"",(W68/$Z70))</f>
        <v/>
      </c>
      <c r="X67" s="19" t="s">
        <v>15</v>
      </c>
      <c r="Y67" s="23"/>
      <c r="Z67" s="25">
        <f>(Y67/0.78)*1020*(C67-D67)*(1-Y68)</f>
        <v>0</v>
      </c>
      <c r="AA67" s="43" t="str">
        <f>IF(ISERROR(Z66/$Z70),"",(Z66/$Z70))</f>
        <v/>
      </c>
      <c r="AB67" s="459"/>
      <c r="AC67" s="469"/>
      <c r="AD67" s="443"/>
      <c r="AE67" s="502"/>
      <c r="AF67" s="460" t="s">
        <v>299</v>
      </c>
      <c r="AG67" s="461">
        <f>Z66</f>
        <v>0</v>
      </c>
      <c r="AH67" s="462"/>
      <c r="AI67" s="463"/>
      <c r="AJ67" s="463"/>
      <c r="AK67" s="463"/>
      <c r="AL67" s="463"/>
      <c r="AM67" s="463"/>
      <c r="AN67" s="470"/>
      <c r="AO67" s="442"/>
    </row>
    <row r="68" spans="1:41" s="2" customFormat="1" ht="14">
      <c r="B68" s="3"/>
      <c r="E68" s="15" t="s">
        <v>0</v>
      </c>
      <c r="F68" s="66"/>
      <c r="G68" s="18"/>
      <c r="H68" s="59"/>
      <c r="I68" s="3" t="s">
        <v>2</v>
      </c>
      <c r="J68" s="225" t="str">
        <f>IF(J66="","",((H67*H66)-N70))</f>
        <v/>
      </c>
      <c r="K68" s="11" t="s">
        <v>22</v>
      </c>
      <c r="L68" s="57"/>
      <c r="M68" s="57"/>
      <c r="N68" s="4"/>
      <c r="O68" s="33"/>
      <c r="P68" s="54" t="str">
        <f>IF(O68="","",VLOOKUP(O68,Properties!$B:$E,2,FALSE))</f>
        <v/>
      </c>
      <c r="Q68" s="232" t="str">
        <f>IF(ISERROR((L68*M68*N68*P68*(C$19-D$19))),"",((L68*M68*N68*P68*(C$19-D$19))))</f>
        <v/>
      </c>
      <c r="R68" s="15" t="s">
        <v>1</v>
      </c>
      <c r="S68" s="153">
        <f>F67</f>
        <v>0</v>
      </c>
      <c r="T68" s="13">
        <f>(S67*S68)</f>
        <v>0</v>
      </c>
      <c r="U68" s="488"/>
      <c r="V68" s="48" t="s">
        <v>30</v>
      </c>
      <c r="W68" s="49" t="str">
        <f>IF(ISERROR(T68*V67*(U66)),"0",T68*V67*(U66))</f>
        <v>0</v>
      </c>
      <c r="X68" s="3" t="s">
        <v>25</v>
      </c>
      <c r="Y68" s="24">
        <v>0.5</v>
      </c>
      <c r="Z68" s="10"/>
      <c r="AB68" s="441"/>
      <c r="AC68" s="469"/>
      <c r="AD68" s="443"/>
      <c r="AE68" s="502"/>
      <c r="AF68" s="460" t="s">
        <v>300</v>
      </c>
      <c r="AG68" s="461">
        <f>Z67</f>
        <v>0</v>
      </c>
      <c r="AH68" s="462"/>
      <c r="AI68" s="463"/>
      <c r="AJ68" s="463"/>
      <c r="AK68" s="463"/>
      <c r="AL68" s="463"/>
      <c r="AM68" s="463"/>
      <c r="AN68" s="470"/>
      <c r="AO68" s="442"/>
    </row>
    <row r="69" spans="1:41" s="2" customFormat="1">
      <c r="B69" s="3"/>
      <c r="F69" s="59"/>
      <c r="G69" s="12"/>
      <c r="H69" s="58"/>
      <c r="I69" s="48" t="s">
        <v>28</v>
      </c>
      <c r="J69" s="49" t="str">
        <f>IF(J66="","0",(J68*J67*(C67-D67)))</f>
        <v>0</v>
      </c>
      <c r="K69" s="11" t="s">
        <v>23</v>
      </c>
      <c r="L69" s="57"/>
      <c r="M69" s="57"/>
      <c r="N69" s="4"/>
      <c r="O69" s="33"/>
      <c r="P69" s="54" t="str">
        <f>IF(O69="","",VLOOKUP(O69,Properties!$B:$E,2,FALSE))</f>
        <v/>
      </c>
      <c r="Q69" s="232" t="str">
        <f>IF(ISERROR((L69*M69*N69*P69*(C$19-D$19))),"",((L69*M69*N69*P69*(C$19-D$19))))</f>
        <v/>
      </c>
      <c r="R69" s="26" t="s">
        <v>6</v>
      </c>
      <c r="S69" s="154"/>
      <c r="T69" s="17" t="s">
        <v>38</v>
      </c>
      <c r="U69" s="486">
        <v>10</v>
      </c>
      <c r="V69" s="500"/>
      <c r="W69" s="501"/>
      <c r="X69" s="9"/>
      <c r="Y69" s="52" t="s">
        <v>26</v>
      </c>
      <c r="Z69" s="51">
        <f>Z66+Z67</f>
        <v>0</v>
      </c>
      <c r="AB69" s="441"/>
      <c r="AC69" s="469"/>
      <c r="AD69" s="443"/>
      <c r="AE69" s="502"/>
      <c r="AF69" s="460" t="s">
        <v>283</v>
      </c>
      <c r="AG69" s="461" t="str">
        <f>W68</f>
        <v>0</v>
      </c>
      <c r="AH69" s="462">
        <f>T68</f>
        <v>0</v>
      </c>
      <c r="AI69" s="463">
        <f>V66</f>
        <v>0</v>
      </c>
      <c r="AJ69" s="464" t="str">
        <f>IF(B70="","",VLOOKUP(AI69,Properties!$B:$E,3,FALSE))</f>
        <v/>
      </c>
      <c r="AK69" s="465" t="str">
        <f>IF(B70="","",VLOOKUP(AI69,Properties!B:E,4,FALSE))</f>
        <v/>
      </c>
      <c r="AL69" s="466">
        <v>0.3</v>
      </c>
      <c r="AM69" s="467">
        <f>($C$1-$C$2)/2</f>
        <v>11.5</v>
      </c>
      <c r="AN69" s="468" t="str">
        <f>IF(B70="","",($AH69*AL69*AK69*AJ69*AM69/3600))</f>
        <v/>
      </c>
      <c r="AO69" s="442"/>
    </row>
    <row r="70" spans="1:41" s="2" customFormat="1" ht="12.75" customHeight="1">
      <c r="B70" s="3"/>
      <c r="F70" s="59"/>
      <c r="H70" s="59"/>
      <c r="I70" s="14"/>
      <c r="J70" s="27" t="str">
        <f>IF(ISERROR(J69/$Z70),"",(J69/$Z70))</f>
        <v/>
      </c>
      <c r="K70" s="20" t="s">
        <v>8</v>
      </c>
      <c r="L70" s="58" t="s">
        <v>16</v>
      </c>
      <c r="M70" s="58" t="s">
        <v>9</v>
      </c>
      <c r="N70" s="227">
        <f>(L66*M66*N66)+(L67*M67*N67)+(L68*M68*N68)+(L69*M69*N69)</f>
        <v>0</v>
      </c>
      <c r="O70" s="50" t="s">
        <v>27</v>
      </c>
      <c r="P70" s="51" t="str">
        <f>IF(O66="","0",SUM(Q66:Q69))</f>
        <v>0</v>
      </c>
      <c r="Q70" s="233"/>
      <c r="R70" s="8" t="s">
        <v>0</v>
      </c>
      <c r="S70" s="152">
        <f>S67</f>
        <v>0</v>
      </c>
      <c r="T70" s="6" t="s">
        <v>3</v>
      </c>
      <c r="U70" s="487"/>
      <c r="V70" s="34" t="str">
        <f>IF(V69="","",VLOOKUP(V69,Properties!$B:$E,2,FALSE))</f>
        <v/>
      </c>
      <c r="W70" s="32" t="str">
        <f>IF(ISERROR(W71/$Z70),"",(W71/$Z70))</f>
        <v/>
      </c>
      <c r="X70" s="490" t="s">
        <v>32</v>
      </c>
      <c r="Y70" s="490"/>
      <c r="Z70" s="53">
        <f>IF(ISERROR(J69+P70+Z69+W68+W71),"",(J69+P70+Z69+W68+W71))</f>
        <v>0</v>
      </c>
      <c r="AA70" s="77" t="str">
        <f>IF(B66="","",(AA71*F66))</f>
        <v/>
      </c>
      <c r="AB70" s="471"/>
      <c r="AC70" s="472">
        <f>SUM(AG65:AG70)</f>
        <v>0</v>
      </c>
      <c r="AD70" s="443"/>
      <c r="AE70" s="502"/>
      <c r="AF70" s="473" t="s">
        <v>286</v>
      </c>
      <c r="AG70" s="474" t="str">
        <f>W71</f>
        <v>0</v>
      </c>
      <c r="AH70" s="475">
        <f>T71</f>
        <v>0</v>
      </c>
      <c r="AI70" s="476">
        <f>V69</f>
        <v>0</v>
      </c>
      <c r="AJ70" s="477" t="str">
        <f>IF(B71="","",VLOOKUP(AI70,Properties!$B:$E,3,FALSE))</f>
        <v/>
      </c>
      <c r="AK70" s="478" t="str">
        <f>IF(B71="","",VLOOKUP(AI70,Properties!B:E,4,FALSE))</f>
        <v/>
      </c>
      <c r="AL70" s="479">
        <v>0.3</v>
      </c>
      <c r="AM70" s="480">
        <f>($C$1-$C$2)/2</f>
        <v>11.5</v>
      </c>
      <c r="AN70" s="481" t="str">
        <f>IF(B71="","",($AH70*AL70*AK70*AJ70*AM70/3600))</f>
        <v/>
      </c>
      <c r="AO70" s="482"/>
    </row>
    <row r="71" spans="1:41" s="2" customFormat="1" ht="12.75" customHeight="1">
      <c r="B71" s="3"/>
      <c r="F71" s="59"/>
      <c r="H71" s="59"/>
      <c r="L71" s="59"/>
      <c r="M71" s="59"/>
      <c r="O71" s="55" t="str">
        <f>IF(ISERROR(100*N70/(H66*H67)),"",(100*N70/(H66*H67)))</f>
        <v/>
      </c>
      <c r="P71" s="28" t="str">
        <f>IF(ISERROR(P70/$Z70),"",(P70/$Z70))</f>
        <v/>
      </c>
      <c r="Q71" s="45"/>
      <c r="R71" s="15" t="s">
        <v>1</v>
      </c>
      <c r="S71" s="153">
        <f>S68</f>
        <v>0</v>
      </c>
      <c r="T71" s="13">
        <f>(S70*S71)</f>
        <v>0</v>
      </c>
      <c r="U71" s="488"/>
      <c r="V71" s="48" t="s">
        <v>34</v>
      </c>
      <c r="W71" s="49" t="str">
        <f>IF(ISERROR(T71*V70*(U69)),"0",T71*V70*(U69))</f>
        <v>0</v>
      </c>
      <c r="X71" s="489" t="s">
        <v>31</v>
      </c>
      <c r="Y71" s="489"/>
      <c r="Z71" s="53">
        <f>IF(ISERROR(Z70*(1+$C$3)),"",(Z70*(1+$C$3)))</f>
        <v>0</v>
      </c>
      <c r="AA71" s="76" t="str">
        <f>IF(B66="","",(Z71/(F66*F67*F68)))</f>
        <v/>
      </c>
      <c r="AB71" s="471">
        <f>F67*F68</f>
        <v>0</v>
      </c>
      <c r="AC71" s="442"/>
      <c r="AD71" s="443"/>
      <c r="AE71" s="443"/>
      <c r="AF71" s="483"/>
      <c r="AG71" s="483"/>
      <c r="AH71" s="483"/>
      <c r="AI71" s="484"/>
      <c r="AJ71" s="485"/>
      <c r="AK71" s="485"/>
      <c r="AL71" s="466"/>
      <c r="AM71" s="483"/>
      <c r="AN71" s="442"/>
      <c r="AO71" s="442"/>
    </row>
    <row r="72" spans="1:41" s="61" customFormat="1" ht="14" thickBot="1">
      <c r="B72" s="60"/>
      <c r="E72" s="62"/>
      <c r="F72" s="67"/>
      <c r="G72" s="62"/>
      <c r="H72" s="67"/>
      <c r="I72" s="62"/>
      <c r="J72" s="62"/>
      <c r="L72" s="63"/>
      <c r="M72" s="63"/>
      <c r="Q72" s="72"/>
      <c r="AB72" s="436"/>
      <c r="AC72" s="437"/>
      <c r="AD72" s="438"/>
      <c r="AE72" s="438"/>
      <c r="AF72" s="437"/>
      <c r="AG72" s="437"/>
      <c r="AH72" s="437"/>
      <c r="AI72" s="439"/>
      <c r="AJ72" s="438"/>
      <c r="AK72" s="438"/>
      <c r="AL72" s="438"/>
      <c r="AM72" s="437"/>
      <c r="AN72" s="437"/>
      <c r="AO72" s="437"/>
    </row>
    <row r="73" spans="1:41" s="21" customFormat="1" ht="14" thickBot="1">
      <c r="A73" s="166" t="s">
        <v>35</v>
      </c>
      <c r="B73" s="100" t="s">
        <v>7</v>
      </c>
      <c r="C73" s="495" t="s">
        <v>36</v>
      </c>
      <c r="D73" s="496"/>
      <c r="E73" s="495" t="s">
        <v>5</v>
      </c>
      <c r="F73" s="497"/>
      <c r="G73" s="37" t="s">
        <v>10</v>
      </c>
      <c r="H73" s="70"/>
      <c r="I73" s="101"/>
      <c r="J73" s="101"/>
      <c r="K73" s="37" t="s">
        <v>19</v>
      </c>
      <c r="L73" s="226" t="s">
        <v>602</v>
      </c>
      <c r="M73" s="226" t="s">
        <v>1</v>
      </c>
      <c r="N73" s="39" t="s">
        <v>603</v>
      </c>
      <c r="O73" s="40" t="s">
        <v>4</v>
      </c>
      <c r="P73" s="41" t="s">
        <v>3</v>
      </c>
      <c r="Q73" s="231"/>
      <c r="R73" s="37" t="s">
        <v>33</v>
      </c>
      <c r="S73" s="38"/>
      <c r="T73" s="101"/>
      <c r="U73" s="162"/>
      <c r="V73" s="101"/>
      <c r="W73" s="101"/>
      <c r="X73" s="37" t="s">
        <v>24</v>
      </c>
      <c r="Y73" s="101"/>
      <c r="Z73" s="42"/>
      <c r="AB73" s="446"/>
      <c r="AC73" s="447"/>
      <c r="AD73" s="448"/>
      <c r="AE73" s="502">
        <f>B74</f>
        <v>0</v>
      </c>
      <c r="AF73" s="449" t="s">
        <v>285</v>
      </c>
      <c r="AG73" s="450" t="str">
        <f>J77</f>
        <v>0</v>
      </c>
      <c r="AH73" s="451" t="str">
        <f>J76</f>
        <v/>
      </c>
      <c r="AI73" s="452">
        <f>J74</f>
        <v>0</v>
      </c>
      <c r="AJ73" s="453" t="str">
        <f>IF(B74="","",VLOOKUP(AI73,Properties!$B:$E,3,FALSE))</f>
        <v/>
      </c>
      <c r="AK73" s="454" t="str">
        <f>IF(B74="","",VLOOKUP(AI73,Properties!B:E,4,FALSE))</f>
        <v/>
      </c>
      <c r="AL73" s="455">
        <v>0.2</v>
      </c>
      <c r="AM73" s="456">
        <f>($C$1-$C$2)/2</f>
        <v>11.5</v>
      </c>
      <c r="AN73" s="457" t="str">
        <f>IF(B74="","",($AH73*AL73*AK73*AJ73*AM73/3600))</f>
        <v/>
      </c>
      <c r="AO73" s="458"/>
    </row>
    <row r="74" spans="1:41" s="7" customFormat="1" ht="12.75" customHeight="1">
      <c r="A74" s="167"/>
      <c r="B74" s="161"/>
      <c r="C74" s="11" t="s">
        <v>17</v>
      </c>
      <c r="D74" s="16" t="s">
        <v>18</v>
      </c>
      <c r="E74" s="8" t="s">
        <v>602</v>
      </c>
      <c r="F74" s="65"/>
      <c r="G74" s="8" t="s">
        <v>602</v>
      </c>
      <c r="H74" s="69"/>
      <c r="I74" s="6" t="s">
        <v>39</v>
      </c>
      <c r="J74" s="224"/>
      <c r="K74" s="11" t="s">
        <v>20</v>
      </c>
      <c r="L74" s="57"/>
      <c r="M74" s="57"/>
      <c r="N74" s="4"/>
      <c r="O74" s="224"/>
      <c r="P74" s="54" t="str">
        <f>IF(O74="","",VLOOKUP(O74,Properties!$B:$E,2,FALSE))</f>
        <v/>
      </c>
      <c r="Q74" s="232" t="e">
        <f>L74*M74*N74*P74*(C$19-D$19)</f>
        <v>#VALUE!</v>
      </c>
      <c r="R74" s="29" t="s">
        <v>29</v>
      </c>
      <c r="S74" s="30"/>
      <c r="T74" s="31" t="s">
        <v>37</v>
      </c>
      <c r="U74" s="486">
        <f>C75-D75</f>
        <v>23</v>
      </c>
      <c r="V74" s="498"/>
      <c r="W74" s="499"/>
      <c r="X74" s="19" t="s">
        <v>14</v>
      </c>
      <c r="Y74" s="22"/>
      <c r="Z74" s="25">
        <f>IF(ISERROR((((F74*F75*F76*Y74)/3600)*1020*(C75-D75)/0.78)),"0",(((F74*F75*F76*Y74)/3600)*1020*(C75-D75)/0.78))</f>
        <v>0</v>
      </c>
      <c r="AA74" s="43" t="str">
        <f>IF(ISERROR(Z74/$Z78),"",(Z74/$Z78))</f>
        <v/>
      </c>
      <c r="AB74" s="459"/>
      <c r="AC74" s="447"/>
      <c r="AD74" s="443"/>
      <c r="AE74" s="502"/>
      <c r="AF74" s="460" t="s">
        <v>200</v>
      </c>
      <c r="AG74" s="461" t="str">
        <f>P78</f>
        <v>0</v>
      </c>
      <c r="AH74" s="462">
        <f>N78</f>
        <v>0</v>
      </c>
      <c r="AI74" s="463">
        <f>O74</f>
        <v>0</v>
      </c>
      <c r="AJ74" s="464" t="str">
        <f>IF(B75="","",VLOOKUP(AI74,Properties!$B:$E,3,FALSE))</f>
        <v/>
      </c>
      <c r="AK74" s="465" t="str">
        <f>IF(B75="","",VLOOKUP(AI74,Properties!B:E,4,FALSE))</f>
        <v/>
      </c>
      <c r="AL74" s="466">
        <v>1.2E-2</v>
      </c>
      <c r="AM74" s="467">
        <f>($C$1-$C$2)/2</f>
        <v>11.5</v>
      </c>
      <c r="AN74" s="468" t="str">
        <f>IF(B75="","",($AH74*AL74*AK74*AJ74*AM74/3600))</f>
        <v/>
      </c>
      <c r="AO74" s="442"/>
    </row>
    <row r="75" spans="1:41" s="7" customFormat="1" ht="14">
      <c r="B75" s="6"/>
      <c r="C75" s="46">
        <f>$C$1</f>
        <v>21</v>
      </c>
      <c r="D75" s="47">
        <f>$C$2</f>
        <v>-2</v>
      </c>
      <c r="E75" s="8" t="s">
        <v>1</v>
      </c>
      <c r="F75" s="57"/>
      <c r="G75" s="8" t="s">
        <v>1</v>
      </c>
      <c r="H75" s="69"/>
      <c r="I75" s="6" t="s">
        <v>3</v>
      </c>
      <c r="J75" s="54" t="str">
        <f>IF(J74="","",VLOOKUP(J74,Properties!$B:$E,2,FALSE))</f>
        <v/>
      </c>
      <c r="K75" s="11" t="s">
        <v>21</v>
      </c>
      <c r="L75" s="57"/>
      <c r="M75" s="57"/>
      <c r="N75" s="4"/>
      <c r="O75" s="33"/>
      <c r="P75" s="54" t="str">
        <f>IF(O75="","",VLOOKUP(O75,Properties!$B:$E,2,FALSE))</f>
        <v/>
      </c>
      <c r="Q75" s="232" t="str">
        <f>IF(ISERROR((L75*M75*N75*P75*(C$19-D$19))),"",((L75*M75*N75*P75*(C$19-D$19))))</f>
        <v/>
      </c>
      <c r="R75" s="8" t="s">
        <v>0</v>
      </c>
      <c r="S75" s="152">
        <f>F76</f>
        <v>0</v>
      </c>
      <c r="T75" s="6"/>
      <c r="U75" s="487"/>
      <c r="V75" s="148" t="str">
        <f>IF(V74="","",VLOOKUP(V74,Properties!$B:$E,2,FALSE))</f>
        <v/>
      </c>
      <c r="W75" s="149" t="str">
        <f>IF(ISERROR(W76/$Z78),"",(W76/$Z78))</f>
        <v/>
      </c>
      <c r="X75" s="19" t="s">
        <v>15</v>
      </c>
      <c r="Y75" s="23"/>
      <c r="Z75" s="25">
        <f>(Y75/0.78)*1020*(C75-D75)*(1-Y76)</f>
        <v>0</v>
      </c>
      <c r="AA75" s="43" t="str">
        <f>IF(ISERROR(Z74/$Z78),"",(Z74/$Z78))</f>
        <v/>
      </c>
      <c r="AB75" s="459"/>
      <c r="AC75" s="469"/>
      <c r="AD75" s="443"/>
      <c r="AE75" s="502"/>
      <c r="AF75" s="460" t="s">
        <v>299</v>
      </c>
      <c r="AG75" s="461">
        <f>Z74</f>
        <v>0</v>
      </c>
      <c r="AH75" s="462"/>
      <c r="AI75" s="463"/>
      <c r="AJ75" s="463"/>
      <c r="AK75" s="463"/>
      <c r="AL75" s="463"/>
      <c r="AM75" s="463"/>
      <c r="AN75" s="470"/>
      <c r="AO75" s="442"/>
    </row>
    <row r="76" spans="1:41" s="2" customFormat="1" ht="14">
      <c r="B76" s="3"/>
      <c r="E76" s="15" t="s">
        <v>0</v>
      </c>
      <c r="F76" s="66"/>
      <c r="G76" s="18"/>
      <c r="H76" s="59"/>
      <c r="I76" s="3" t="s">
        <v>2</v>
      </c>
      <c r="J76" s="225" t="str">
        <f>IF(J74="","",((H75*H74)-N78))</f>
        <v/>
      </c>
      <c r="K76" s="11" t="s">
        <v>22</v>
      </c>
      <c r="L76" s="57"/>
      <c r="M76" s="57"/>
      <c r="N76" s="4"/>
      <c r="O76" s="33"/>
      <c r="P76" s="54" t="str">
        <f>IF(O76="","",VLOOKUP(O76,Properties!$B:$E,2,FALSE))</f>
        <v/>
      </c>
      <c r="Q76" s="232" t="str">
        <f>IF(ISERROR((L76*M76*N76*P76*(C$19-D$19))),"",((L76*M76*N76*P76*(C$19-D$19))))</f>
        <v/>
      </c>
      <c r="R76" s="15" t="s">
        <v>1</v>
      </c>
      <c r="S76" s="153">
        <f>F75</f>
        <v>0</v>
      </c>
      <c r="T76" s="13">
        <f>(S75*S76)</f>
        <v>0</v>
      </c>
      <c r="U76" s="488"/>
      <c r="V76" s="48" t="s">
        <v>30</v>
      </c>
      <c r="W76" s="49" t="str">
        <f>IF(ISERROR(T76*V75*(U74)),"0",T76*V75*(U74))</f>
        <v>0</v>
      </c>
      <c r="X76" s="3" t="s">
        <v>25</v>
      </c>
      <c r="Y76" s="24">
        <v>0.5</v>
      </c>
      <c r="Z76" s="10"/>
      <c r="AB76" s="441"/>
      <c r="AC76" s="469"/>
      <c r="AD76" s="443"/>
      <c r="AE76" s="502"/>
      <c r="AF76" s="460" t="s">
        <v>300</v>
      </c>
      <c r="AG76" s="461">
        <f>Z75</f>
        <v>0</v>
      </c>
      <c r="AH76" s="462"/>
      <c r="AI76" s="463"/>
      <c r="AJ76" s="463"/>
      <c r="AK76" s="463"/>
      <c r="AL76" s="463"/>
      <c r="AM76" s="463"/>
      <c r="AN76" s="470"/>
      <c r="AO76" s="442"/>
    </row>
    <row r="77" spans="1:41" s="2" customFormat="1" ht="12.75" customHeight="1">
      <c r="B77" s="3"/>
      <c r="F77" s="59"/>
      <c r="G77" s="12"/>
      <c r="H77" s="58"/>
      <c r="I77" s="48" t="s">
        <v>28</v>
      </c>
      <c r="J77" s="49" t="str">
        <f>IF(J74="","0",(J76*J75*(C75-D75)))</f>
        <v>0</v>
      </c>
      <c r="K77" s="11" t="s">
        <v>23</v>
      </c>
      <c r="L77" s="57"/>
      <c r="M77" s="57"/>
      <c r="N77" s="4"/>
      <c r="O77" s="33"/>
      <c r="P77" s="54" t="str">
        <f>IF(O77="","",VLOOKUP(O77,Properties!$B:$E,2,FALSE))</f>
        <v/>
      </c>
      <c r="Q77" s="232" t="str">
        <f>IF(ISERROR((L77*M77*N77*P77*(C$19-D$19))),"",((L77*M77*N77*P77*(C$19-D$19))))</f>
        <v/>
      </c>
      <c r="R77" s="26" t="s">
        <v>6</v>
      </c>
      <c r="S77" s="154"/>
      <c r="T77" s="17" t="s">
        <v>38</v>
      </c>
      <c r="U77" s="486">
        <v>10</v>
      </c>
      <c r="V77" s="500"/>
      <c r="W77" s="501"/>
      <c r="X77" s="9"/>
      <c r="Y77" s="52" t="s">
        <v>26</v>
      </c>
      <c r="Z77" s="51">
        <f>Z74+Z75</f>
        <v>0</v>
      </c>
      <c r="AB77" s="441"/>
      <c r="AC77" s="469"/>
      <c r="AD77" s="443"/>
      <c r="AE77" s="502"/>
      <c r="AF77" s="460" t="s">
        <v>283</v>
      </c>
      <c r="AG77" s="461" t="str">
        <f>W76</f>
        <v>0</v>
      </c>
      <c r="AH77" s="462">
        <f>T76</f>
        <v>0</v>
      </c>
      <c r="AI77" s="463">
        <f>V74</f>
        <v>0</v>
      </c>
      <c r="AJ77" s="464" t="str">
        <f>IF(B78="","",VLOOKUP(AI77,Properties!$B:$E,3,FALSE))</f>
        <v/>
      </c>
      <c r="AK77" s="465" t="str">
        <f>IF(B78="","",VLOOKUP(AI77,Properties!B:E,4,FALSE))</f>
        <v/>
      </c>
      <c r="AL77" s="466">
        <v>0.3</v>
      </c>
      <c r="AM77" s="467">
        <f>($C$1-$C$2)/2</f>
        <v>11.5</v>
      </c>
      <c r="AN77" s="468" t="str">
        <f>IF(B78="","",($AH77*AL77*AK77*AJ77*AM77/3600))</f>
        <v/>
      </c>
      <c r="AO77" s="442"/>
    </row>
    <row r="78" spans="1:41" s="2" customFormat="1" ht="12.75" customHeight="1">
      <c r="B78" s="3"/>
      <c r="F78" s="59"/>
      <c r="H78" s="59"/>
      <c r="I78" s="14"/>
      <c r="J78" s="27" t="str">
        <f>IF(ISERROR(J77/$Z78),"",(J77/$Z78))</f>
        <v/>
      </c>
      <c r="K78" s="20" t="s">
        <v>8</v>
      </c>
      <c r="L78" s="58" t="s">
        <v>16</v>
      </c>
      <c r="M78" s="58" t="s">
        <v>9</v>
      </c>
      <c r="N78" s="227">
        <f>(L74*M74*N74)+(L75*M75*N75)+(L76*M76*N76)+(L77*M77*N77)</f>
        <v>0</v>
      </c>
      <c r="O78" s="50" t="s">
        <v>27</v>
      </c>
      <c r="P78" s="51" t="str">
        <f>IF(O74="","0",SUM(Q74:Q77))</f>
        <v>0</v>
      </c>
      <c r="Q78" s="233"/>
      <c r="R78" s="8" t="s">
        <v>0</v>
      </c>
      <c r="S78" s="152">
        <f>S75</f>
        <v>0</v>
      </c>
      <c r="T78" s="6" t="s">
        <v>3</v>
      </c>
      <c r="U78" s="487"/>
      <c r="V78" s="34" t="str">
        <f>IF(V77="","",VLOOKUP(V77,Properties!$B:$E,2,FALSE))</f>
        <v/>
      </c>
      <c r="W78" s="32" t="str">
        <f>IF(ISERROR(W79/$Z78),"",(W79/$Z78))</f>
        <v/>
      </c>
      <c r="X78" s="490" t="s">
        <v>32</v>
      </c>
      <c r="Y78" s="490"/>
      <c r="Z78" s="53">
        <f>IF(ISERROR(J77+P78+Z77+W76+W79),"",(J77+P78+Z77+W76+W79))</f>
        <v>0</v>
      </c>
      <c r="AA78" s="77" t="str">
        <f>IF(B74="","",(AA79*F74))</f>
        <v/>
      </c>
      <c r="AB78" s="471"/>
      <c r="AC78" s="472">
        <f>SUM(AG73:AG78)</f>
        <v>0</v>
      </c>
      <c r="AD78" s="443"/>
      <c r="AE78" s="502"/>
      <c r="AF78" s="473" t="s">
        <v>286</v>
      </c>
      <c r="AG78" s="474" t="str">
        <f>W79</f>
        <v>0</v>
      </c>
      <c r="AH78" s="475">
        <f>T79</f>
        <v>0</v>
      </c>
      <c r="AI78" s="476">
        <f>V77</f>
        <v>0</v>
      </c>
      <c r="AJ78" s="477" t="str">
        <f>IF(B79="","",VLOOKUP(AI78,Properties!$B:$E,3,FALSE))</f>
        <v/>
      </c>
      <c r="AK78" s="478" t="str">
        <f>IF(B79="","",VLOOKUP(AI78,Properties!B:E,4,FALSE))</f>
        <v/>
      </c>
      <c r="AL78" s="479">
        <v>0.3</v>
      </c>
      <c r="AM78" s="480">
        <f>($C$1-$C$2)/2</f>
        <v>11.5</v>
      </c>
      <c r="AN78" s="481" t="str">
        <f>IF(B79="","",($AH78*AL78*AK78*AJ78*AM78/3600))</f>
        <v/>
      </c>
      <c r="AO78" s="482"/>
    </row>
    <row r="79" spans="1:41" s="2" customFormat="1" ht="12.75" customHeight="1">
      <c r="B79" s="3"/>
      <c r="F79" s="59"/>
      <c r="H79" s="59"/>
      <c r="L79" s="59"/>
      <c r="M79" s="59"/>
      <c r="O79" s="55" t="str">
        <f>IF(ISERROR(100*N78/(H74*H75)),"",(100*N78/(H74*H75)))</f>
        <v/>
      </c>
      <c r="P79" s="28" t="str">
        <f>IF(ISERROR(P78/$Z78),"",(P78/$Z78))</f>
        <v/>
      </c>
      <c r="Q79" s="45"/>
      <c r="R79" s="15" t="s">
        <v>1</v>
      </c>
      <c r="S79" s="153">
        <f>S76</f>
        <v>0</v>
      </c>
      <c r="T79" s="13">
        <f>(S78*S79)</f>
        <v>0</v>
      </c>
      <c r="U79" s="488"/>
      <c r="V79" s="48" t="s">
        <v>34</v>
      </c>
      <c r="W79" s="49" t="str">
        <f>IF(ISERROR(T79*V78*(U77)),"0",T79*V78*(U77))</f>
        <v>0</v>
      </c>
      <c r="X79" s="489" t="s">
        <v>31</v>
      </c>
      <c r="Y79" s="489"/>
      <c r="Z79" s="53">
        <f>IF(ISERROR(Z78*(1+$C$3)),"",(Z78*(1+$C$3)))</f>
        <v>0</v>
      </c>
      <c r="AA79" s="76" t="str">
        <f>IF(B74="","",(Z79/(F74*F75*F76)))</f>
        <v/>
      </c>
      <c r="AB79" s="471">
        <f>F75*F76</f>
        <v>0</v>
      </c>
      <c r="AC79" s="442"/>
      <c r="AD79" s="443"/>
      <c r="AE79" s="443"/>
      <c r="AF79" s="483"/>
      <c r="AG79" s="483"/>
      <c r="AH79" s="483"/>
      <c r="AI79" s="484"/>
      <c r="AJ79" s="485"/>
      <c r="AK79" s="485"/>
      <c r="AL79" s="466"/>
      <c r="AM79" s="483"/>
      <c r="AN79" s="442"/>
      <c r="AO79" s="442"/>
    </row>
    <row r="80" spans="1:41" s="61" customFormat="1" ht="14" thickBot="1">
      <c r="B80" s="60"/>
      <c r="E80" s="62"/>
      <c r="F80" s="67"/>
      <c r="G80" s="62"/>
      <c r="H80" s="67"/>
      <c r="I80" s="62"/>
      <c r="J80" s="62"/>
      <c r="L80" s="63"/>
      <c r="M80" s="63"/>
      <c r="Q80" s="72"/>
      <c r="AB80" s="436"/>
      <c r="AC80" s="437"/>
      <c r="AD80" s="438"/>
      <c r="AE80" s="438"/>
      <c r="AF80" s="437"/>
      <c r="AG80" s="437"/>
      <c r="AH80" s="437"/>
      <c r="AI80" s="439"/>
      <c r="AJ80" s="438"/>
      <c r="AK80" s="438"/>
      <c r="AL80" s="438"/>
      <c r="AM80" s="437"/>
      <c r="AN80" s="437"/>
      <c r="AO80" s="437"/>
    </row>
    <row r="81" spans="1:41" s="21" customFormat="1" ht="14" thickBot="1">
      <c r="A81" s="166" t="s">
        <v>35</v>
      </c>
      <c r="B81" s="100" t="s">
        <v>7</v>
      </c>
      <c r="C81" s="495" t="s">
        <v>36</v>
      </c>
      <c r="D81" s="496"/>
      <c r="E81" s="495" t="s">
        <v>5</v>
      </c>
      <c r="F81" s="497"/>
      <c r="G81" s="37" t="s">
        <v>10</v>
      </c>
      <c r="H81" s="70"/>
      <c r="I81" s="101"/>
      <c r="J81" s="101"/>
      <c r="K81" s="37" t="s">
        <v>19</v>
      </c>
      <c r="L81" s="226" t="s">
        <v>602</v>
      </c>
      <c r="M81" s="226" t="s">
        <v>1</v>
      </c>
      <c r="N81" s="39" t="s">
        <v>603</v>
      </c>
      <c r="O81" s="40" t="s">
        <v>4</v>
      </c>
      <c r="P81" s="41" t="s">
        <v>3</v>
      </c>
      <c r="Q81" s="231"/>
      <c r="R81" s="37" t="s">
        <v>33</v>
      </c>
      <c r="S81" s="38"/>
      <c r="T81" s="101"/>
      <c r="U81" s="162"/>
      <c r="V81" s="101"/>
      <c r="W81" s="101"/>
      <c r="X81" s="37" t="s">
        <v>24</v>
      </c>
      <c r="Y81" s="101"/>
      <c r="Z81" s="42"/>
      <c r="AB81" s="446"/>
      <c r="AC81" s="447"/>
      <c r="AD81" s="448"/>
      <c r="AE81" s="502">
        <f>B82</f>
        <v>0</v>
      </c>
      <c r="AF81" s="449" t="s">
        <v>285</v>
      </c>
      <c r="AG81" s="450" t="str">
        <f>J85</f>
        <v>0</v>
      </c>
      <c r="AH81" s="451" t="str">
        <f>J84</f>
        <v/>
      </c>
      <c r="AI81" s="452">
        <f>J82</f>
        <v>0</v>
      </c>
      <c r="AJ81" s="453" t="str">
        <f>IF(B82="","",VLOOKUP(AI81,Properties!$B:$E,3,FALSE))</f>
        <v/>
      </c>
      <c r="AK81" s="454" t="str">
        <f>IF(B82="","",VLOOKUP(AI81,Properties!B:E,4,FALSE))</f>
        <v/>
      </c>
      <c r="AL81" s="455">
        <v>0.2</v>
      </c>
      <c r="AM81" s="456">
        <f>($C$1-$C$2)/2</f>
        <v>11.5</v>
      </c>
      <c r="AN81" s="457" t="str">
        <f>IF(B82="","",($AH81*AL81*AK81*AJ81*AM81/3600))</f>
        <v/>
      </c>
      <c r="AO81" s="458"/>
    </row>
    <row r="82" spans="1:41" s="7" customFormat="1" ht="14">
      <c r="A82" s="167"/>
      <c r="B82" s="222"/>
      <c r="C82" s="11" t="s">
        <v>17</v>
      </c>
      <c r="D82" s="16" t="s">
        <v>18</v>
      </c>
      <c r="E82" s="8" t="s">
        <v>602</v>
      </c>
      <c r="F82" s="65"/>
      <c r="G82" s="8" t="s">
        <v>602</v>
      </c>
      <c r="H82" s="69"/>
      <c r="I82" s="6" t="s">
        <v>39</v>
      </c>
      <c r="J82" s="224"/>
      <c r="K82" s="11" t="s">
        <v>20</v>
      </c>
      <c r="L82" s="57"/>
      <c r="M82" s="57"/>
      <c r="N82" s="4"/>
      <c r="O82" s="224"/>
      <c r="P82" s="54" t="str">
        <f>IF(O82="","",VLOOKUP(O82,Properties!$B:$E,2,FALSE))</f>
        <v/>
      </c>
      <c r="Q82" s="232" t="e">
        <f>L82*M82*N82*P82*(C$19-D$19)</f>
        <v>#VALUE!</v>
      </c>
      <c r="R82" s="29" t="s">
        <v>29</v>
      </c>
      <c r="S82" s="30"/>
      <c r="T82" s="31" t="s">
        <v>37</v>
      </c>
      <c r="U82" s="486">
        <f>C83-D83</f>
        <v>23</v>
      </c>
      <c r="V82" s="498"/>
      <c r="W82" s="499"/>
      <c r="X82" s="19" t="s">
        <v>14</v>
      </c>
      <c r="Y82" s="22">
        <v>1</v>
      </c>
      <c r="Z82" s="25">
        <f>IF(ISERROR((((F82*F83*F84*Y82)/3600)*1020*(C83-D83)/0.78)),"0",(((F82*F83*F84*Y82)/3600)*1020*(C83-D83)/0.78))</f>
        <v>0</v>
      </c>
      <c r="AA82" s="43" t="str">
        <f>IF(ISERROR(Z82/$Z86),"",(Z82/$Z86))</f>
        <v/>
      </c>
      <c r="AB82" s="459"/>
      <c r="AC82" s="447"/>
      <c r="AD82" s="443"/>
      <c r="AE82" s="502"/>
      <c r="AF82" s="460" t="s">
        <v>200</v>
      </c>
      <c r="AG82" s="461" t="str">
        <f>P86</f>
        <v>0</v>
      </c>
      <c r="AH82" s="462">
        <f>N86</f>
        <v>0</v>
      </c>
      <c r="AI82" s="463">
        <f>O82</f>
        <v>0</v>
      </c>
      <c r="AJ82" s="464" t="str">
        <f>IF(B83="","",VLOOKUP(AI82,Properties!$B:$E,3,FALSE))</f>
        <v/>
      </c>
      <c r="AK82" s="465" t="str">
        <f>IF(B83="","",VLOOKUP(AI82,Properties!B:E,4,FALSE))</f>
        <v/>
      </c>
      <c r="AL82" s="466">
        <v>1.2E-2</v>
      </c>
      <c r="AM82" s="467">
        <f>($C$1-$C$2)/2</f>
        <v>11.5</v>
      </c>
      <c r="AN82" s="468" t="str">
        <f>IF(B83="","",($AH82*AL82*AK82*AJ82*AM82/3600))</f>
        <v/>
      </c>
      <c r="AO82" s="442"/>
    </row>
    <row r="83" spans="1:41" s="7" customFormat="1" ht="12.75" customHeight="1">
      <c r="B83" s="6"/>
      <c r="C83" s="46">
        <f>$C$1</f>
        <v>21</v>
      </c>
      <c r="D83" s="47">
        <f>$C$2</f>
        <v>-2</v>
      </c>
      <c r="E83" s="8" t="s">
        <v>1</v>
      </c>
      <c r="F83" s="57"/>
      <c r="G83" s="8" t="s">
        <v>1</v>
      </c>
      <c r="H83" s="69"/>
      <c r="I83" s="6" t="s">
        <v>3</v>
      </c>
      <c r="J83" s="54" t="str">
        <f>IF(J82="","",VLOOKUP(J82,Properties!$B:$E,2,FALSE))</f>
        <v/>
      </c>
      <c r="K83" s="11" t="s">
        <v>21</v>
      </c>
      <c r="L83" s="57"/>
      <c r="M83" s="57"/>
      <c r="N83" s="4"/>
      <c r="O83" s="33"/>
      <c r="P83" s="54" t="str">
        <f>IF(O83="","",VLOOKUP(O83,Properties!$B:$E,2,FALSE))</f>
        <v/>
      </c>
      <c r="Q83" s="232" t="str">
        <f>IF(ISERROR((L83*M83*N83*P83*(C$19-D$19))),"",((L83*M83*N83*P83*(C$19-D$19))))</f>
        <v/>
      </c>
      <c r="R83" s="8" t="s">
        <v>0</v>
      </c>
      <c r="S83" s="152">
        <f>F84</f>
        <v>0</v>
      </c>
      <c r="T83" s="6"/>
      <c r="U83" s="487"/>
      <c r="V83" s="148" t="str">
        <f>IF(V82="","",VLOOKUP(V82,Properties!$B:$E,2,FALSE))</f>
        <v/>
      </c>
      <c r="W83" s="149" t="str">
        <f>IF(ISERROR(W84/$Z86),"",(W84/$Z86))</f>
        <v/>
      </c>
      <c r="X83" s="19" t="s">
        <v>15</v>
      </c>
      <c r="Y83" s="23"/>
      <c r="Z83" s="25">
        <f>(Y83/0.78)*1020*(C83-D83)*(1-Y84)</f>
        <v>0</v>
      </c>
      <c r="AA83" s="43" t="str">
        <f>IF(ISERROR(Z82/$Z86),"",(Z82/$Z86))</f>
        <v/>
      </c>
      <c r="AB83" s="459"/>
      <c r="AC83" s="469"/>
      <c r="AD83" s="443"/>
      <c r="AE83" s="502"/>
      <c r="AF83" s="460" t="s">
        <v>299</v>
      </c>
      <c r="AG83" s="461">
        <f>Z82</f>
        <v>0</v>
      </c>
      <c r="AH83" s="462"/>
      <c r="AI83" s="463"/>
      <c r="AJ83" s="463"/>
      <c r="AK83" s="463"/>
      <c r="AL83" s="463"/>
      <c r="AM83" s="463"/>
      <c r="AN83" s="470"/>
      <c r="AO83" s="442"/>
    </row>
    <row r="84" spans="1:41" s="2" customFormat="1" ht="14">
      <c r="B84" s="3"/>
      <c r="E84" s="15" t="s">
        <v>0</v>
      </c>
      <c r="F84" s="66"/>
      <c r="G84" s="18"/>
      <c r="H84" s="59"/>
      <c r="I84" s="3" t="s">
        <v>2</v>
      </c>
      <c r="J84" s="225" t="str">
        <f>IF(J82="","",((H83*H82)-N86))</f>
        <v/>
      </c>
      <c r="K84" s="11" t="s">
        <v>22</v>
      </c>
      <c r="L84" s="57"/>
      <c r="M84" s="57"/>
      <c r="N84" s="4"/>
      <c r="O84" s="33"/>
      <c r="P84" s="54" t="str">
        <f>IF(O84="","",VLOOKUP(O84,Properties!$B:$E,2,FALSE))</f>
        <v/>
      </c>
      <c r="Q84" s="232" t="str">
        <f>IF(ISERROR((L84*M84*N84*P84*(C$19-D$19))),"",((L84*M84*N84*P84*(C$19-D$19))))</f>
        <v/>
      </c>
      <c r="R84" s="15" t="s">
        <v>1</v>
      </c>
      <c r="S84" s="153">
        <f>F83</f>
        <v>0</v>
      </c>
      <c r="T84" s="13">
        <f>(S83*S84)</f>
        <v>0</v>
      </c>
      <c r="U84" s="488"/>
      <c r="V84" s="48" t="s">
        <v>30</v>
      </c>
      <c r="W84" s="49" t="str">
        <f>IF(ISERROR(T84*V83*(U82)),"0",T84*V83*(U82))</f>
        <v>0</v>
      </c>
      <c r="X84" s="3" t="s">
        <v>25</v>
      </c>
      <c r="Y84" s="24">
        <v>0.5</v>
      </c>
      <c r="Z84" s="10"/>
      <c r="AB84" s="441"/>
      <c r="AC84" s="469"/>
      <c r="AD84" s="443"/>
      <c r="AE84" s="502"/>
      <c r="AF84" s="460" t="s">
        <v>300</v>
      </c>
      <c r="AG84" s="461">
        <f>Z83</f>
        <v>0</v>
      </c>
      <c r="AH84" s="462"/>
      <c r="AI84" s="463"/>
      <c r="AJ84" s="463"/>
      <c r="AK84" s="463"/>
      <c r="AL84" s="463"/>
      <c r="AM84" s="463"/>
      <c r="AN84" s="470"/>
      <c r="AO84" s="442"/>
    </row>
    <row r="85" spans="1:41" s="2" customFormat="1">
      <c r="B85" s="3"/>
      <c r="F85" s="59"/>
      <c r="G85" s="12"/>
      <c r="H85" s="58"/>
      <c r="I85" s="48" t="s">
        <v>28</v>
      </c>
      <c r="J85" s="49" t="str">
        <f>IF(J82="","0",(J84*J83*(C83-D83)))</f>
        <v>0</v>
      </c>
      <c r="K85" s="11" t="s">
        <v>614</v>
      </c>
      <c r="L85" s="57"/>
      <c r="M85" s="57"/>
      <c r="N85" s="4"/>
      <c r="O85" s="33"/>
      <c r="P85" s="54" t="str">
        <f>IF(O85="","",VLOOKUP(O85,Properties!$B:$E,2,FALSE))</f>
        <v/>
      </c>
      <c r="Q85" s="232" t="str">
        <f>IF(ISERROR((L85*M85*N85*P85*(C$19-D$19))),"",((L85*M85*N85*P85*(C$19-D$19))))</f>
        <v/>
      </c>
      <c r="R85" s="26" t="s">
        <v>6</v>
      </c>
      <c r="S85" s="154"/>
      <c r="T85" s="17" t="s">
        <v>38</v>
      </c>
      <c r="U85" s="486">
        <v>10</v>
      </c>
      <c r="V85" s="500"/>
      <c r="W85" s="501"/>
      <c r="X85" s="9"/>
      <c r="Y85" s="52" t="s">
        <v>26</v>
      </c>
      <c r="Z85" s="51">
        <f>Z82+Z83</f>
        <v>0</v>
      </c>
      <c r="AB85" s="441"/>
      <c r="AC85" s="469"/>
      <c r="AD85" s="443"/>
      <c r="AE85" s="502"/>
      <c r="AF85" s="460" t="s">
        <v>283</v>
      </c>
      <c r="AG85" s="461" t="str">
        <f>W84</f>
        <v>0</v>
      </c>
      <c r="AH85" s="462">
        <f>T84</f>
        <v>0</v>
      </c>
      <c r="AI85" s="463">
        <f>V82</f>
        <v>0</v>
      </c>
      <c r="AJ85" s="464" t="str">
        <f>IF(B86="","",VLOOKUP(AI85,Properties!$B:$E,3,FALSE))</f>
        <v/>
      </c>
      <c r="AK85" s="465" t="str">
        <f>IF(B86="","",VLOOKUP(AI85,Properties!B:E,4,FALSE))</f>
        <v/>
      </c>
      <c r="AL85" s="466">
        <v>0.3</v>
      </c>
      <c r="AM85" s="467">
        <f>($C$1-$C$2)/2</f>
        <v>11.5</v>
      </c>
      <c r="AN85" s="468" t="str">
        <f>IF(B86="","",($AH85*AL85*AK85*AJ85*AM85/3600))</f>
        <v/>
      </c>
      <c r="AO85" s="442"/>
    </row>
    <row r="86" spans="1:41" s="2" customFormat="1" ht="12.75" customHeight="1">
      <c r="B86" s="3"/>
      <c r="F86" s="59"/>
      <c r="H86" s="59"/>
      <c r="I86" s="14"/>
      <c r="J86" s="27" t="str">
        <f>IF(ISERROR(J85/$Z86),"",(J85/$Z86))</f>
        <v/>
      </c>
      <c r="K86" s="20" t="s">
        <v>8</v>
      </c>
      <c r="L86" s="58" t="s">
        <v>16</v>
      </c>
      <c r="M86" s="58" t="s">
        <v>9</v>
      </c>
      <c r="N86" s="227">
        <f>(L82*M82*N82)+(L83*M83*N83)+(L84*M84*N84)+(L85*M85*N85)</f>
        <v>0</v>
      </c>
      <c r="O86" s="50" t="s">
        <v>27</v>
      </c>
      <c r="P86" s="51" t="str">
        <f>IF(O82="","0",SUM(Q82:Q85))</f>
        <v>0</v>
      </c>
      <c r="Q86" s="233"/>
      <c r="R86" s="8" t="s">
        <v>0</v>
      </c>
      <c r="S86" s="152">
        <f>S83</f>
        <v>0</v>
      </c>
      <c r="T86" s="6" t="s">
        <v>3</v>
      </c>
      <c r="U86" s="487"/>
      <c r="V86" s="34" t="str">
        <f>IF(V85="","",VLOOKUP(V85,Properties!$B:$E,2,FALSE))</f>
        <v/>
      </c>
      <c r="W86" s="32" t="str">
        <f>IF(ISERROR(W87/$Z86),"",(W87/$Z86))</f>
        <v/>
      </c>
      <c r="X86" s="490" t="s">
        <v>32</v>
      </c>
      <c r="Y86" s="490"/>
      <c r="Z86" s="53">
        <f>IF(ISERROR(J85+P86+Z85+W84+W87),"",(J85+P86+Z85+W84+W87))</f>
        <v>0</v>
      </c>
      <c r="AA86" s="77" t="str">
        <f>IF(B82="","",(AA87*F82))</f>
        <v/>
      </c>
      <c r="AB86" s="471"/>
      <c r="AC86" s="472">
        <f>SUM(AG81:AG86)</f>
        <v>0</v>
      </c>
      <c r="AD86" s="443"/>
      <c r="AE86" s="502"/>
      <c r="AF86" s="473" t="s">
        <v>286</v>
      </c>
      <c r="AG86" s="474" t="str">
        <f>W87</f>
        <v>0</v>
      </c>
      <c r="AH86" s="475">
        <f>T87</f>
        <v>0</v>
      </c>
      <c r="AI86" s="476">
        <f>V85</f>
        <v>0</v>
      </c>
      <c r="AJ86" s="477" t="str">
        <f>IF(B87="","",VLOOKUP(AI86,Properties!$B:$E,3,FALSE))</f>
        <v/>
      </c>
      <c r="AK86" s="478" t="str">
        <f>IF(B87="","",VLOOKUP(AI86,Properties!B:E,4,FALSE))</f>
        <v/>
      </c>
      <c r="AL86" s="479">
        <v>0.3</v>
      </c>
      <c r="AM86" s="480">
        <f>($C$1-$C$2)/2</f>
        <v>11.5</v>
      </c>
      <c r="AN86" s="481" t="str">
        <f>IF(B87="","",($AH86*AL86*AK86*AJ86*AM86/3600))</f>
        <v/>
      </c>
      <c r="AO86" s="482"/>
    </row>
    <row r="87" spans="1:41" s="2" customFormat="1" ht="12.75" customHeight="1">
      <c r="B87" s="3"/>
      <c r="F87" s="59"/>
      <c r="H87" s="59"/>
      <c r="L87" s="59"/>
      <c r="M87" s="59"/>
      <c r="O87" s="55" t="str">
        <f>IF(ISERROR(100*N86/(H82*H83)),"",(100*N86/(H82*H83)))</f>
        <v/>
      </c>
      <c r="P87" s="28" t="str">
        <f>IF(ISERROR(P86/$Z86),"",(P86/$Z86))</f>
        <v/>
      </c>
      <c r="Q87" s="45"/>
      <c r="R87" s="15" t="s">
        <v>1</v>
      </c>
      <c r="S87" s="153">
        <f>S84</f>
        <v>0</v>
      </c>
      <c r="T87" s="13">
        <f>(S86*S87)</f>
        <v>0</v>
      </c>
      <c r="U87" s="488"/>
      <c r="V87" s="48" t="s">
        <v>34</v>
      </c>
      <c r="W87" s="49" t="str">
        <f>IF(ISERROR(T87*V86*(U85)),"0",T87*V86*(U85))</f>
        <v>0</v>
      </c>
      <c r="X87" s="489" t="s">
        <v>31</v>
      </c>
      <c r="Y87" s="489"/>
      <c r="Z87" s="53">
        <f>IF(ISERROR(Z86*(1+$C$3)),"",(Z86*(1+$C$3)))</f>
        <v>0</v>
      </c>
      <c r="AA87" s="76" t="str">
        <f>IF(B82="","",(Z87/(F82*F83*F84)))</f>
        <v/>
      </c>
      <c r="AB87" s="471">
        <f>F83*F84</f>
        <v>0</v>
      </c>
      <c r="AC87" s="442"/>
      <c r="AD87" s="443"/>
      <c r="AE87" s="443"/>
      <c r="AF87" s="483"/>
      <c r="AG87" s="483"/>
      <c r="AH87" s="483"/>
      <c r="AI87" s="484"/>
      <c r="AJ87" s="485"/>
      <c r="AK87" s="485"/>
      <c r="AL87" s="466"/>
      <c r="AM87" s="483"/>
      <c r="AN87" s="442"/>
      <c r="AO87" s="442"/>
    </row>
    <row r="88" spans="1:41" s="61" customFormat="1">
      <c r="B88" s="60"/>
      <c r="E88" s="62"/>
      <c r="F88" s="67"/>
      <c r="G88" s="62"/>
      <c r="H88" s="67"/>
      <c r="I88" s="62"/>
      <c r="J88" s="62"/>
      <c r="L88" s="63"/>
      <c r="M88" s="63"/>
      <c r="Q88" s="72"/>
      <c r="AB88" s="436"/>
      <c r="AC88" s="437"/>
      <c r="AD88" s="438"/>
      <c r="AE88" s="438"/>
      <c r="AF88" s="437"/>
      <c r="AG88" s="437"/>
      <c r="AH88" s="437"/>
      <c r="AI88" s="439"/>
      <c r="AJ88" s="438"/>
      <c r="AK88" s="438"/>
      <c r="AL88" s="438"/>
      <c r="AM88" s="437"/>
      <c r="AN88" s="437"/>
      <c r="AO88" s="437"/>
    </row>
  </sheetData>
  <mergeCells count="83">
    <mergeCell ref="U85:U87"/>
    <mergeCell ref="AE57:AE62"/>
    <mergeCell ref="AE65:AE70"/>
    <mergeCell ref="AE73:AE78"/>
    <mergeCell ref="AE81:AE86"/>
    <mergeCell ref="U58:U60"/>
    <mergeCell ref="U61:U63"/>
    <mergeCell ref="X87:Y87"/>
    <mergeCell ref="X78:Y78"/>
    <mergeCell ref="X79:Y79"/>
    <mergeCell ref="U66:U68"/>
    <mergeCell ref="U69:U71"/>
    <mergeCell ref="U74:U76"/>
    <mergeCell ref="U77:U79"/>
    <mergeCell ref="U82:U84"/>
    <mergeCell ref="AE49:AE54"/>
    <mergeCell ref="AE41:AE46"/>
    <mergeCell ref="AE33:AE38"/>
    <mergeCell ref="AE25:AE30"/>
    <mergeCell ref="AE17:AE22"/>
    <mergeCell ref="X31:Y31"/>
    <mergeCell ref="V82:W82"/>
    <mergeCell ref="V85:W85"/>
    <mergeCell ref="X86:Y86"/>
    <mergeCell ref="X70:Y70"/>
    <mergeCell ref="X71:Y71"/>
    <mergeCell ref="V66:W66"/>
    <mergeCell ref="V61:W61"/>
    <mergeCell ref="X63:Y63"/>
    <mergeCell ref="V69:W69"/>
    <mergeCell ref="X54:Y54"/>
    <mergeCell ref="X55:Y55"/>
    <mergeCell ref="V58:W58"/>
    <mergeCell ref="X62:Y62"/>
    <mergeCell ref="V34:W34"/>
    <mergeCell ref="C81:D81"/>
    <mergeCell ref="E81:F81"/>
    <mergeCell ref="E73:F73"/>
    <mergeCell ref="V77:W77"/>
    <mergeCell ref="C25:D25"/>
    <mergeCell ref="E25:F25"/>
    <mergeCell ref="V26:W26"/>
    <mergeCell ref="V29:W29"/>
    <mergeCell ref="C57:D57"/>
    <mergeCell ref="E57:F57"/>
    <mergeCell ref="C73:D73"/>
    <mergeCell ref="V74:W74"/>
    <mergeCell ref="C49:D49"/>
    <mergeCell ref="E49:F49"/>
    <mergeCell ref="V50:W50"/>
    <mergeCell ref="V53:W53"/>
    <mergeCell ref="C41:D41"/>
    <mergeCell ref="E41:F41"/>
    <mergeCell ref="C65:D65"/>
    <mergeCell ref="E65:F65"/>
    <mergeCell ref="X38:Y38"/>
    <mergeCell ref="X39:Y39"/>
    <mergeCell ref="X46:Y46"/>
    <mergeCell ref="X47:Y47"/>
    <mergeCell ref="V42:W42"/>
    <mergeCell ref="V45:W45"/>
    <mergeCell ref="U50:U52"/>
    <mergeCell ref="U53:U55"/>
    <mergeCell ref="U37:U39"/>
    <mergeCell ref="U42:U44"/>
    <mergeCell ref="U45:U47"/>
    <mergeCell ref="V37:W37"/>
    <mergeCell ref="U34:U36"/>
    <mergeCell ref="X23:Y23"/>
    <mergeCell ref="X22:Y22"/>
    <mergeCell ref="C13:G13"/>
    <mergeCell ref="C14:G14"/>
    <mergeCell ref="C17:D17"/>
    <mergeCell ref="E17:F17"/>
    <mergeCell ref="V18:W18"/>
    <mergeCell ref="V21:W21"/>
    <mergeCell ref="C33:D33"/>
    <mergeCell ref="E33:F33"/>
    <mergeCell ref="U18:U20"/>
    <mergeCell ref="U21:U23"/>
    <mergeCell ref="U26:U28"/>
    <mergeCell ref="U29:U31"/>
    <mergeCell ref="X30:Y30"/>
  </mergeCells>
  <phoneticPr fontId="0" type="noConversion"/>
  <conditionalFormatting sqref="C13:G15">
    <cfRule type="cellIs" dxfId="87" priority="96" stopIfTrue="1" operator="equal">
      <formula>0</formula>
    </cfRule>
    <cfRule type="cellIs" dxfId="86" priority="97" stopIfTrue="1" operator="equal">
      <formula>""""""</formula>
    </cfRule>
    <cfRule type="cellIs" dxfId="85" priority="98" stopIfTrue="1" operator="equal">
      <formula>""""""</formula>
    </cfRule>
  </conditionalFormatting>
  <conditionalFormatting sqref="H18:H19 S19:S20 V18:W18 V21:W21 Y18:Y20 A18:B18 C19:D19 F18:F20 S22:S23 C27:D27 F26:F28 C35:D35 C43:D43 C51:D51 F50:F52 C59:D59 F58:F60 C67:D67 C75:D75 A82:B82 C83:D83 F82:F84 J50 Y26:Y28 A26:B26 A58:B58 A66:B66 A74:B74 L51:O53 L59:O61 L19:O21 L27:O29 L35:O37 L43:O45 L67:O69 L75:O77 L83:O85 H26:H27 H34:H35 H42:H43 H50:H51 H58:H59 H66:H67 H74:H75 H82:H83 Y34:Y36 Y42:Y44 Y50:Y52 Y58:Y60 Y66:Y68 Y74:Y76 Y82:Y84 N50:O50 F34:F36 F42:F44 F66:F68 F74:F76 A34:B34 A42:B42 A50:B50">
    <cfRule type="cellIs" dxfId="84" priority="92" stopIfTrue="1" operator="equal">
      <formula>0</formula>
    </cfRule>
  </conditionalFormatting>
  <conditionalFormatting sqref="J42 N42:O42">
    <cfRule type="cellIs" dxfId="83" priority="42" stopIfTrue="1" operator="equal">
      <formula>0</formula>
    </cfRule>
  </conditionalFormatting>
  <conditionalFormatting sqref="J34 N34:O34">
    <cfRule type="cellIs" dxfId="82" priority="41" stopIfTrue="1" operator="equal">
      <formula>0</formula>
    </cfRule>
  </conditionalFormatting>
  <conditionalFormatting sqref="N26:O26">
    <cfRule type="cellIs" dxfId="81" priority="40" stopIfTrue="1" operator="equal">
      <formula>0</formula>
    </cfRule>
  </conditionalFormatting>
  <conditionalFormatting sqref="J18 N18:O18">
    <cfRule type="cellIs" dxfId="80" priority="39" stopIfTrue="1" operator="equal">
      <formula>0</formula>
    </cfRule>
  </conditionalFormatting>
  <conditionalFormatting sqref="J58 L58:O58">
    <cfRule type="cellIs" dxfId="79" priority="38" stopIfTrue="1" operator="equal">
      <formula>0</formula>
    </cfRule>
  </conditionalFormatting>
  <conditionalFormatting sqref="J66 N66:O66">
    <cfRule type="cellIs" dxfId="78" priority="37" stopIfTrue="1" operator="equal">
      <formula>0</formula>
    </cfRule>
  </conditionalFormatting>
  <conditionalFormatting sqref="J74 L74:O74">
    <cfRule type="cellIs" dxfId="77" priority="36" stopIfTrue="1" operator="equal">
      <formula>0</formula>
    </cfRule>
  </conditionalFormatting>
  <conditionalFormatting sqref="J82 L82:O82">
    <cfRule type="cellIs" dxfId="76" priority="35" stopIfTrue="1" operator="equal">
      <formula>0</formula>
    </cfRule>
  </conditionalFormatting>
  <conditionalFormatting sqref="S27:S28 S30:S31">
    <cfRule type="cellIs" dxfId="75" priority="34" stopIfTrue="1" operator="equal">
      <formula>0</formula>
    </cfRule>
  </conditionalFormatting>
  <conditionalFormatting sqref="S35:S36 S38:S39">
    <cfRule type="cellIs" dxfId="74" priority="33" stopIfTrue="1" operator="equal">
      <formula>0</formula>
    </cfRule>
  </conditionalFormatting>
  <conditionalFormatting sqref="S43:S44 S46:S47">
    <cfRule type="cellIs" dxfId="73" priority="32" stopIfTrue="1" operator="equal">
      <formula>0</formula>
    </cfRule>
  </conditionalFormatting>
  <conditionalFormatting sqref="S51:S52 S54:S55">
    <cfRule type="cellIs" dxfId="72" priority="31" stopIfTrue="1" operator="equal">
      <formula>0</formula>
    </cfRule>
  </conditionalFormatting>
  <conditionalFormatting sqref="S59:S60 S62:S63">
    <cfRule type="cellIs" dxfId="71" priority="30" stopIfTrue="1" operator="equal">
      <formula>0</formula>
    </cfRule>
  </conditionalFormatting>
  <conditionalFormatting sqref="S67:S68 S70:S71">
    <cfRule type="cellIs" dxfId="70" priority="29" stopIfTrue="1" operator="equal">
      <formula>0</formula>
    </cfRule>
  </conditionalFormatting>
  <conditionalFormatting sqref="S75:S76 S78:S79">
    <cfRule type="cellIs" dxfId="69" priority="28" stopIfTrue="1" operator="equal">
      <formula>0</formula>
    </cfRule>
  </conditionalFormatting>
  <conditionalFormatting sqref="S83:S84 S86:S87">
    <cfRule type="cellIs" dxfId="68" priority="27" stopIfTrue="1" operator="equal">
      <formula>0</formula>
    </cfRule>
  </conditionalFormatting>
  <conditionalFormatting sqref="V50:W50 V53:W53">
    <cfRule type="cellIs" dxfId="67" priority="26" stopIfTrue="1" operator="equal">
      <formula>0</formula>
    </cfRule>
  </conditionalFormatting>
  <conditionalFormatting sqref="V58:W58 V61:W61">
    <cfRule type="cellIs" dxfId="66" priority="22" stopIfTrue="1" operator="equal">
      <formula>0</formula>
    </cfRule>
  </conditionalFormatting>
  <conditionalFormatting sqref="V34:W34 V37:W37">
    <cfRule type="cellIs" dxfId="65" priority="24" stopIfTrue="1" operator="equal">
      <formula>0</formula>
    </cfRule>
  </conditionalFormatting>
  <conditionalFormatting sqref="V45:W45">
    <cfRule type="cellIs" dxfId="64" priority="23" stopIfTrue="1" operator="equal">
      <formula>0</formula>
    </cfRule>
  </conditionalFormatting>
  <conditionalFormatting sqref="V74:W74 V77:W77">
    <cfRule type="cellIs" dxfId="63" priority="20" stopIfTrue="1" operator="equal">
      <formula>0</formula>
    </cfRule>
  </conditionalFormatting>
  <conditionalFormatting sqref="V66:W66 V69:W69">
    <cfRule type="cellIs" dxfId="62" priority="21" stopIfTrue="1" operator="equal">
      <formula>0</formula>
    </cfRule>
  </conditionalFormatting>
  <conditionalFormatting sqref="L66:M66">
    <cfRule type="cellIs" dxfId="61" priority="10" stopIfTrue="1" operator="equal">
      <formula>0</formula>
    </cfRule>
  </conditionalFormatting>
  <conditionalFormatting sqref="V82:W82 V85:W85">
    <cfRule type="cellIs" dxfId="60" priority="19" stopIfTrue="1" operator="equal">
      <formula>0</formula>
    </cfRule>
  </conditionalFormatting>
  <conditionalFormatting sqref="L50:M50">
    <cfRule type="cellIs" dxfId="59" priority="15" stopIfTrue="1" operator="equal">
      <formula>0</formula>
    </cfRule>
  </conditionalFormatting>
  <conditionalFormatting sqref="L34:M34">
    <cfRule type="cellIs" dxfId="58" priority="13" stopIfTrue="1" operator="equal">
      <formula>0</formula>
    </cfRule>
  </conditionalFormatting>
  <conditionalFormatting sqref="L18:M18">
    <cfRule type="cellIs" dxfId="57" priority="11" stopIfTrue="1" operator="equal">
      <formula>0</formula>
    </cfRule>
  </conditionalFormatting>
  <conditionalFormatting sqref="L42:M42">
    <cfRule type="cellIs" dxfId="56" priority="14" stopIfTrue="1" operator="equal">
      <formula>0</formula>
    </cfRule>
  </conditionalFormatting>
  <conditionalFormatting sqref="L26:M26">
    <cfRule type="cellIs" dxfId="55" priority="12" stopIfTrue="1" operator="equal">
      <formula>0</formula>
    </cfRule>
  </conditionalFormatting>
  <conditionalFormatting sqref="V26:W26">
    <cfRule type="cellIs" dxfId="54" priority="2" stopIfTrue="1" operator="equal">
      <formula>0</formula>
    </cfRule>
  </conditionalFormatting>
  <conditionalFormatting sqref="V29:W29">
    <cfRule type="cellIs" dxfId="53" priority="5" stopIfTrue="1" operator="equal">
      <formula>0</formula>
    </cfRule>
  </conditionalFormatting>
  <conditionalFormatting sqref="J26">
    <cfRule type="cellIs" dxfId="52" priority="3" stopIfTrue="1" operator="equal">
      <formula>0</formula>
    </cfRule>
  </conditionalFormatting>
  <conditionalFormatting sqref="V42:W42">
    <cfRule type="cellIs" dxfId="51" priority="1" stopIfTrue="1" operator="equal">
      <formula>0</formula>
    </cfRule>
  </conditionalFormatting>
  <dataValidations count="3">
    <dataValidation type="list" allowBlank="1" showInputMessage="1" showErrorMessage="1" sqref="J106 J98 J90" xr:uid="{00000000-0002-0000-0800-000000000000}">
      <formula1>$B$104:$B$168</formula1>
    </dataValidation>
    <dataValidation type="list" allowBlank="1" showInputMessage="1" showErrorMessage="1" sqref="V90:W90 V98:W98 V106:W106" xr:uid="{00000000-0002-0000-0800-000001000000}">
      <formula1>$B$79:$B$103</formula1>
    </dataValidation>
    <dataValidation type="list" allowBlank="1" showInputMessage="1" showErrorMessage="1" sqref="O106:O109 O90:O93 O98:O101" xr:uid="{00000000-0002-0000-0800-000002000000}">
      <formula1>$B$46:$B$78</formula1>
    </dataValidation>
  </dataValidations>
  <pageMargins left="0.25" right="0.25" top="0.75" bottom="0.75" header="0.3" footer="0.3"/>
  <pageSetup paperSize="9" scale="40" orientation="landscape"/>
  <headerFooter alignWithMargins="0">
    <oddHeader>&amp;LHEAT LOSS CALCULATIONS</oddHeader>
    <oddFooter>&amp;L&amp;DPage &amp;P of &amp;N&amp;CTECHNICAL SUPPORT ASSOCIATES&amp;R&amp;F</oddFooter>
  </headerFooter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800-000003000000}">
          <x14:formula1>
            <xm:f>Properties!$B$33:$B$62</xm:f>
          </x14:formula1>
          <xm:sqref>O82:O85 O42:O45 O34:O37 O26:O29 O18:O21 O58:O61 O66:O69 O74:O77 O50:O53</xm:sqref>
        </x14:dataValidation>
        <x14:dataValidation type="list" allowBlank="1" showInputMessage="1" showErrorMessage="1" xr:uid="{00000000-0002-0000-0800-000005000000}">
          <x14:formula1>
            <xm:f>Properties!$B$2:$B$32</xm:f>
          </x14:formula1>
          <xm:sqref>V21:W21 V109:W109 V101:W101 V93:W93 V77:W77 V69:W69 V61:W61 V45:W45 V53:W53 V37:W37 V85:W85 V29:W29</xm:sqref>
        </x14:dataValidation>
        <x14:dataValidation type="list" allowBlank="1" showInputMessage="1" showErrorMessage="1" xr:uid="{00000000-0002-0000-0800-000004000000}">
          <x14:formula1>
            <xm:f>Properties!$B$63:$B$84</xm:f>
          </x14:formula1>
          <xm:sqref>V18:W18 V50:W50 V74:W74 V66:W66 V58:W58 V26:W26 V34:W34 V82:W82 V42:W42</xm:sqref>
        </x14:dataValidation>
        <x14:dataValidation type="list" allowBlank="1" showInputMessage="1" showErrorMessage="1" xr:uid="{00000000-0002-0000-0800-000006000000}">
          <x14:formula1>
            <xm:f>Properties!$B$85:$B$148</xm:f>
          </x14:formula1>
          <xm:sqref>J18 J26 J74 J66 J58 J50 J42 J34 J82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38"/>
  <sheetViews>
    <sheetView showGridLines="0" showZeros="0" tabSelected="1" zoomScale="110" zoomScaleNormal="110" workbookViewId="0">
      <selection activeCell="B9" sqref="B9"/>
    </sheetView>
  </sheetViews>
  <sheetFormatPr baseColWidth="10" defaultColWidth="8.83203125" defaultRowHeight="13"/>
  <cols>
    <col min="1" max="1" width="3" style="102" bestFit="1" customWidth="1"/>
    <col min="2" max="2" width="11.6640625" style="179" customWidth="1"/>
    <col min="3" max="3" width="10.1640625" style="171" bestFit="1" customWidth="1"/>
    <col min="4" max="4" width="10.6640625" style="171" customWidth="1"/>
    <col min="5" max="5" width="25.5" style="172" customWidth="1"/>
    <col min="6" max="6" width="4.1640625" style="172" customWidth="1"/>
    <col min="7" max="7" width="7.83203125" style="147" customWidth="1"/>
    <col min="8" max="8" width="10.33203125" style="147" customWidth="1"/>
    <col min="9" max="9" width="11.6640625" style="173" customWidth="1"/>
    <col min="10" max="10" width="11" style="174" customWidth="1"/>
    <col min="11" max="11" width="14" style="174" customWidth="1"/>
    <col min="12" max="12" width="10.5" style="174" customWidth="1"/>
    <col min="13" max="16" width="9.33203125" style="174" bestFit="1" customWidth="1"/>
    <col min="17" max="17" width="10.83203125" style="175" customWidth="1"/>
    <col min="18" max="18" width="7.6640625" style="174" customWidth="1"/>
    <col min="19" max="21" width="5" style="174" customWidth="1"/>
    <col min="22" max="22" width="11.5" style="253" hidden="1" customWidth="1"/>
    <col min="23" max="23" width="8.83203125" style="176" hidden="1" customWidth="1"/>
    <col min="24" max="24" width="8.83203125" style="290" hidden="1" customWidth="1"/>
    <col min="25" max="25" width="12.5" style="434" hidden="1" customWidth="1"/>
    <col min="26" max="26" width="4.5" style="218" bestFit="1" customWidth="1"/>
    <col min="27" max="16384" width="8.83203125" style="174"/>
  </cols>
  <sheetData>
    <row r="1" spans="1:26" ht="50" customHeight="1">
      <c r="A1" s="416"/>
      <c r="B1" s="504" t="str">
        <f ca="1">MID(CELL("filename",A1),FIND("]",CELL("filename",A1))+1,255)</f>
        <v>U Value</v>
      </c>
      <c r="C1" s="504"/>
      <c r="D1" s="504"/>
      <c r="E1" s="504"/>
      <c r="Y1" s="432" t="s">
        <v>257</v>
      </c>
    </row>
    <row r="2" spans="1:26" ht="30" customHeight="1">
      <c r="B2" s="159" t="s">
        <v>591</v>
      </c>
      <c r="F2" s="171"/>
      <c r="G2" s="171"/>
      <c r="H2" s="507" t="str">
        <f ca="1">MID(CELL("filename",C2),FIND("]",CELL("filename",C2))+1,255)</f>
        <v>U Value</v>
      </c>
      <c r="I2" s="508"/>
      <c r="J2" s="508" t="str">
        <f ca="1">MID(CELL("filename",E2),FIND("]",CELL("filename",E2))+1,255)</f>
        <v>U Value</v>
      </c>
      <c r="K2" s="508"/>
      <c r="L2" s="508" t="str">
        <f ca="1">MID(CELL("filename",G2),FIND("]",CELL("filename",G2))+1,255)</f>
        <v>U Value</v>
      </c>
      <c r="M2" s="508"/>
      <c r="N2" s="508" t="str">
        <f ca="1">MID(CELL("filename",I2),FIND("]",CELL("filename",I2))+1,255)</f>
        <v>U Value</v>
      </c>
      <c r="O2" s="508"/>
      <c r="P2" s="508" t="str">
        <f ca="1">MID(CELL("filename",K2),FIND("]",CELL("filename",K2))+1,255)</f>
        <v>U Value</v>
      </c>
      <c r="Q2" s="508"/>
      <c r="Y2" s="432" t="s">
        <v>258</v>
      </c>
    </row>
    <row r="3" spans="1:26" s="177" customFormat="1" ht="14" thickBot="1">
      <c r="A3" s="262"/>
      <c r="B3" s="259" t="s">
        <v>268</v>
      </c>
      <c r="C3" s="179"/>
      <c r="D3" s="425">
        <v>0.97499999999999998</v>
      </c>
      <c r="E3" s="422" t="s">
        <v>851</v>
      </c>
      <c r="F3" s="171"/>
      <c r="G3" s="171"/>
      <c r="H3" s="178">
        <v>1</v>
      </c>
      <c r="I3" s="178">
        <v>2</v>
      </c>
      <c r="J3" s="178">
        <v>3</v>
      </c>
      <c r="K3" s="178">
        <v>4</v>
      </c>
      <c r="L3" s="178">
        <v>5</v>
      </c>
      <c r="M3" s="178">
        <v>6</v>
      </c>
      <c r="N3" s="178">
        <v>7</v>
      </c>
      <c r="O3" s="178">
        <v>8</v>
      </c>
      <c r="P3" s="178">
        <v>9</v>
      </c>
      <c r="Q3" s="178">
        <v>10</v>
      </c>
      <c r="V3" s="253"/>
      <c r="W3" s="176"/>
      <c r="X3" s="291"/>
      <c r="Y3" s="432" t="s">
        <v>621</v>
      </c>
      <c r="Z3" s="71"/>
    </row>
    <row r="4" spans="1:26" s="180" customFormat="1" ht="24">
      <c r="A4" s="263"/>
      <c r="B4" s="81" t="s">
        <v>238</v>
      </c>
      <c r="C4" s="82" t="s">
        <v>269</v>
      </c>
      <c r="D4" s="168" t="s">
        <v>606</v>
      </c>
      <c r="E4" s="83" t="s">
        <v>607</v>
      </c>
      <c r="F4" s="181"/>
      <c r="G4" s="343" t="s">
        <v>806</v>
      </c>
      <c r="H4" s="249" t="str">
        <f>CONCATENATE($B6,"-",$E6)</f>
        <v>AIRSPACE 1-Rsi (floor)</v>
      </c>
      <c r="I4" s="84" t="str">
        <f>CONCATENATE($B7,"-",$E7)</f>
        <v>Brick-</v>
      </c>
      <c r="J4" s="85" t="str">
        <f>CONCATENATE($B8,"-",$E8)</f>
        <v>AIRSPACE 2-Rso (wall)</v>
      </c>
      <c r="K4" s="86" t="str">
        <f>CONCATENATE($B9,"-",$E9)</f>
        <v>-</v>
      </c>
      <c r="L4" s="87" t="str">
        <f>CONCATENATE($B10,"-",$E10)</f>
        <v>-</v>
      </c>
      <c r="M4" s="88" t="str">
        <f>CONCATENATE($B11,"-",$E11)</f>
        <v>-</v>
      </c>
      <c r="N4" s="89" t="str">
        <f>CONCATENATE($B12,"-",$E12)</f>
        <v>-</v>
      </c>
      <c r="O4" s="90" t="str">
        <f>CONCATENATE($B13,"-",$E13)</f>
        <v>-</v>
      </c>
      <c r="P4" s="91" t="str">
        <f>CONCATENATE($B14,"-",$E14)</f>
        <v>-</v>
      </c>
      <c r="Q4" s="249" t="str">
        <f>CONCATENATE($B15,"-",$E15)</f>
        <v>-</v>
      </c>
      <c r="R4" s="342" t="s">
        <v>807</v>
      </c>
      <c r="V4" s="254" t="s">
        <v>241</v>
      </c>
      <c r="W4" s="182" t="s">
        <v>270</v>
      </c>
      <c r="X4" s="292" t="s">
        <v>271</v>
      </c>
      <c r="Y4" s="433" t="s">
        <v>185</v>
      </c>
      <c r="Z4" s="219"/>
    </row>
    <row r="5" spans="1:26" s="180" customFormat="1" ht="12.75" customHeight="1">
      <c r="A5" s="263"/>
      <c r="B5" s="78"/>
      <c r="C5" s="79"/>
      <c r="D5" s="169"/>
      <c r="E5" s="80"/>
      <c r="F5" s="181"/>
      <c r="G5" s="181"/>
      <c r="H5" s="250">
        <f>C6</f>
        <v>0</v>
      </c>
      <c r="I5" s="92" t="str">
        <f>IF($B7="","",CONCATENATE($C7, "mm : ",$D7,"00 %"))</f>
        <v>110mm : 100 %</v>
      </c>
      <c r="J5" s="93" t="str">
        <f>IF($B8="","",CONCATENATE($C8, "mm : ",$D8,"00 %"))</f>
        <v>mm : 100 %</v>
      </c>
      <c r="K5" s="94" t="str">
        <f>IF($B9="","",CONCATENATE($C9, "mm : ",$D9,"00 %"))</f>
        <v/>
      </c>
      <c r="L5" s="95" t="str">
        <f>IF($B10="","",CONCATENATE($C10, "mm : ",$D10,"00 %"))</f>
        <v/>
      </c>
      <c r="M5" s="96" t="str">
        <f>IF($B11="","",CONCATENATE($C11, "mm : ",$D11,"00 %"))</f>
        <v/>
      </c>
      <c r="N5" s="97" t="str">
        <f>IF($B12="","",CONCATENATE($C12, "mm : ",$D12,"00 %"))</f>
        <v/>
      </c>
      <c r="O5" s="98" t="str">
        <f>IF($B13="","",CONCATENATE($C13, "mm : ",$D13,"00 %"))</f>
        <v/>
      </c>
      <c r="P5" s="99" t="str">
        <f>IF($B14="","",CONCATENATE($C14, "mm : ",$D14,"00 %"))</f>
        <v/>
      </c>
      <c r="Q5" s="250" t="str">
        <f>IF($B15="","",CONCATENATE($C15, "mm : ",$D15,"00 %"))</f>
        <v/>
      </c>
      <c r="V5" s="255"/>
      <c r="W5" s="182"/>
      <c r="X5" s="292"/>
      <c r="Y5" s="433"/>
      <c r="Z5" s="219"/>
    </row>
    <row r="6" spans="1:26" ht="21" customHeight="1">
      <c r="A6" s="264">
        <v>1</v>
      </c>
      <c r="B6" s="183" t="s">
        <v>608</v>
      </c>
      <c r="C6" s="184"/>
      <c r="D6" s="185">
        <f>IF(B6="","",1)</f>
        <v>1</v>
      </c>
      <c r="E6" s="195" t="s">
        <v>290</v>
      </c>
      <c r="F6" s="261"/>
      <c r="G6" s="509" t="s">
        <v>268</v>
      </c>
      <c r="H6" s="251" t="str">
        <f>IF(LEFT($B6,3)="AIR",CONCATENATE($X6," m2K/W"),$W6)</f>
        <v>0.17 m2K/W</v>
      </c>
      <c r="I6" s="186"/>
      <c r="J6" s="187"/>
      <c r="K6" s="188"/>
      <c r="L6" s="189"/>
      <c r="M6" s="190"/>
      <c r="N6" s="191"/>
      <c r="O6" s="192"/>
      <c r="P6" s="193"/>
      <c r="Q6" s="251"/>
      <c r="R6" s="505" t="s">
        <v>272</v>
      </c>
      <c r="V6" s="256">
        <f>IF(B6="","",IF(LEFT($B6,3)="AIR",X6,IF(OR(B6=$Y$1,B6=$Y$2,B6=$Y$3,B6=$Y$4,B6=$Y$5,B6=$Y$6,B6=$Y$7,B6=$Y$8,B6=$Y$9,B6=$Y$10,B6=$Y$11,B6=$Y$12,B6=$Y$13,B6=$Y$14,B6=$Y$15,B6=$Y$16,B6=$Y$17,B6=$Y$18),(C6*D6*$D$3/(H6*1000)),(C6*D6/(H6*1000)))))</f>
        <v>0.17</v>
      </c>
      <c r="W6" s="194">
        <f>IF(B6="","",VLOOKUP(B6,Materials!A:B,2,FALSE))</f>
        <v>0</v>
      </c>
      <c r="X6" s="291">
        <f>IF(E6="","",VLOOKUP(E6,Materials!F:G,2,FALSE))</f>
        <v>0.17</v>
      </c>
      <c r="Y6" s="434" t="s">
        <v>775</v>
      </c>
    </row>
    <row r="7" spans="1:26" ht="21" customHeight="1">
      <c r="A7" s="264">
        <v>2</v>
      </c>
      <c r="B7" s="183" t="s">
        <v>170</v>
      </c>
      <c r="C7" s="184">
        <v>110</v>
      </c>
      <c r="D7" s="185">
        <f t="shared" ref="D7:D15" si="0">IF(B7="","",1)</f>
        <v>1</v>
      </c>
      <c r="E7" s="195"/>
      <c r="F7" s="261"/>
      <c r="G7" s="509"/>
      <c r="H7" s="251"/>
      <c r="I7" s="186">
        <f>IF(LEFT($B7,3)="AIR",CONCATENATE($X7," m2K/W"),$W7)</f>
        <v>0.84</v>
      </c>
      <c r="J7" s="187"/>
      <c r="K7" s="188"/>
      <c r="L7" s="189"/>
      <c r="M7" s="190"/>
      <c r="N7" s="191"/>
      <c r="O7" s="192"/>
      <c r="P7" s="193"/>
      <c r="Q7" s="251"/>
      <c r="R7" s="505"/>
      <c r="V7" s="256">
        <f>IF(B7="","",IF(LEFT($B7,3)="AIR",X7,IF(OR(B7=$Y$1,B7=$Y$2,B7=$Y$3,B7=$Y$4,B7=$Y$5,B7=$Y$6,B7=$Y$7,B7=$Y$8,B7=$Y$9,B7=$Y$10,B7=$Y$11,B7=$Y$12,B7=$Y$13,B7=$Y$14,B7=$Y$15,B7=$Y$16,B7=$Y$17,B7=$Y$18),(C7*D7*$D$3/(I7*1000)),(C7*D7/(I7*1000)))))</f>
        <v>0.13095238095238096</v>
      </c>
      <c r="W7" s="194">
        <f>IF(B7="","",VLOOKUP(B7,Materials!A:B,2,FALSE))</f>
        <v>0.84</v>
      </c>
      <c r="X7" s="291" t="str">
        <f>IF(E7="","",VLOOKUP(E7,Materials!F:G,2,FALSE))</f>
        <v/>
      </c>
      <c r="Y7" s="434" t="s">
        <v>193</v>
      </c>
    </row>
    <row r="8" spans="1:26" ht="21" customHeight="1">
      <c r="A8" s="264">
        <v>3</v>
      </c>
      <c r="B8" s="183" t="s">
        <v>609</v>
      </c>
      <c r="C8" s="184"/>
      <c r="D8" s="185">
        <f t="shared" si="0"/>
        <v>1</v>
      </c>
      <c r="E8" s="195" t="s">
        <v>253</v>
      </c>
      <c r="F8" s="261"/>
      <c r="G8" s="509"/>
      <c r="H8" s="251"/>
      <c r="I8" s="186"/>
      <c r="J8" s="187" t="str">
        <f>IF(LEFT($B8,3)="AIR",CONCATENATE($X8," m2K/W"),$W8)</f>
        <v>0.06 m2K/W</v>
      </c>
      <c r="K8" s="188"/>
      <c r="L8" s="189"/>
      <c r="M8" s="190"/>
      <c r="N8" s="191"/>
      <c r="O8" s="192"/>
      <c r="P8" s="193"/>
      <c r="Q8" s="251"/>
      <c r="R8" s="505"/>
      <c r="V8" s="256">
        <f>IF(B8="","",IF(LEFT($B8,3)="AIR",X8,IF(OR(B8=$Y$1,B8=$Y$2,B8=$Y$3,B8=$Y$4,B8=$Y$5,B8=$Y$6,B8=$Y$7,B8=$Y$8,B8=$Y$9,B8=$Y$10,B8=$Y$11,B8=$Y$12,B8=$Y$13,B8=$Y$14,B8=$Y$15,B8=$Y$16,B8=$Y$17,B8=$Y$18),(C8*D8*$D$3/(J8*1000)),(C8*D8/(J8*1000)))))</f>
        <v>0.06</v>
      </c>
      <c r="W8" s="194">
        <f>IF(B8="","",VLOOKUP(B8,Materials!A:B,2,FALSE))</f>
        <v>0</v>
      </c>
      <c r="X8" s="291">
        <f>IF(E8="","",VLOOKUP(E8,Materials!F:G,2,FALSE))</f>
        <v>0.06</v>
      </c>
      <c r="Y8" s="434" t="s">
        <v>195</v>
      </c>
    </row>
    <row r="9" spans="1:26" ht="21" customHeight="1">
      <c r="A9" s="264">
        <v>4</v>
      </c>
      <c r="B9" s="183"/>
      <c r="C9" s="184"/>
      <c r="D9" s="185" t="str">
        <f t="shared" si="0"/>
        <v/>
      </c>
      <c r="E9" s="195"/>
      <c r="F9" s="261"/>
      <c r="G9" s="509"/>
      <c r="H9" s="251"/>
      <c r="I9" s="186"/>
      <c r="J9" s="187"/>
      <c r="K9" s="188" t="str">
        <f>IF(LEFT($B9,3)="AIR",CONCATENATE($X9," m2K/W"),$W9)</f>
        <v/>
      </c>
      <c r="L9" s="189"/>
      <c r="M9" s="190"/>
      <c r="N9" s="191"/>
      <c r="O9" s="192"/>
      <c r="P9" s="193"/>
      <c r="Q9" s="251"/>
      <c r="R9" s="505"/>
      <c r="V9" s="256" t="str">
        <f>IF(B9="","",IF(LEFT($B9,3)="AIR",X9,IF(OR(B9=$Y$1,B9=$Y$2,B9=$Y$3,B9=$Y$4,B9=$Y$5,B9=$Y$6,B9=$Y$7,B9=$Y$8,B9=$Y$9,B9=$Y$10,B9=$Y$11,B9=$Y$12,B9=$Y$13,B9=$Y$14,B9=$Y$15,B9=$Y$16,B9=$Y$17,B9=$Y$18),(C9*D9*$D$3/(K9*1000)),(C9*D9/(K9*1000)))))</f>
        <v/>
      </c>
      <c r="W9" s="194" t="str">
        <f>IF(B9="","",VLOOKUP(B9,Materials!A:B,2,FALSE))</f>
        <v/>
      </c>
      <c r="X9" s="291" t="str">
        <f>IF(E9="","",VLOOKUP(E9,Materials!F:G,2,FALSE))</f>
        <v/>
      </c>
      <c r="Y9" s="434" t="s">
        <v>852</v>
      </c>
    </row>
    <row r="10" spans="1:26" ht="21" customHeight="1">
      <c r="A10" s="264">
        <v>5</v>
      </c>
      <c r="B10" s="183"/>
      <c r="C10" s="184"/>
      <c r="D10" s="185" t="str">
        <f t="shared" si="0"/>
        <v/>
      </c>
      <c r="E10" s="195"/>
      <c r="F10" s="261"/>
      <c r="G10" s="509"/>
      <c r="H10" s="251"/>
      <c r="I10" s="186"/>
      <c r="J10" s="187"/>
      <c r="K10" s="188"/>
      <c r="L10" s="189" t="str">
        <f>IF(LEFT($B10,3)="AIR",CONCATENATE($X10," m2K/W"),$W10)</f>
        <v/>
      </c>
      <c r="M10" s="190"/>
      <c r="N10" s="191"/>
      <c r="O10" s="192"/>
      <c r="P10" s="193"/>
      <c r="Q10" s="251"/>
      <c r="R10" s="505"/>
      <c r="V10" s="256" t="str">
        <f>IF(B10="","",IF(LEFT($B10,3)="AIR",X10,IF(OR(B10=$Y$1,B10=$Y$2,B10=$Y$3,B10=$Y$4,B10=$Y$5,B10=$Y$6,B10=$Y$7,B10=$Y$8,B10=$Y$9,B10=$Y$10,B10=$Y$11,B10=$Y$12,B10=$Y$13,B10=$Y$14,B10=$Y$15,B10=$Y$16,B10=$Y$17,B10=$Y$18),(C10*D10*$D$3/(L10*1000)),(C10*D10/(L10*1000)))))</f>
        <v/>
      </c>
      <c r="W10" s="194" t="str">
        <f>IF(B10="","",VLOOKUP(B10,Materials!A:B,2,FALSE))</f>
        <v/>
      </c>
      <c r="X10" s="291" t="str">
        <f>IF(E10="","",VLOOKUP(E10,Materials!F:G,2,FALSE))</f>
        <v/>
      </c>
      <c r="Y10" s="434" t="s">
        <v>560</v>
      </c>
    </row>
    <row r="11" spans="1:26" ht="21" customHeight="1">
      <c r="A11" s="264">
        <v>6</v>
      </c>
      <c r="B11" s="183"/>
      <c r="C11" s="184"/>
      <c r="D11" s="185" t="str">
        <f t="shared" si="0"/>
        <v/>
      </c>
      <c r="E11" s="195"/>
      <c r="F11" s="261"/>
      <c r="G11" s="509"/>
      <c r="H11" s="251"/>
      <c r="I11" s="186"/>
      <c r="J11" s="187"/>
      <c r="K11" s="188"/>
      <c r="L11" s="189"/>
      <c r="M11" s="190" t="str">
        <f>IF(LEFT($B11,3)="AIR",CONCATENATE($X11," m2K/W"),$W11)</f>
        <v/>
      </c>
      <c r="N11" s="191"/>
      <c r="O11" s="192"/>
      <c r="P11" s="193"/>
      <c r="Q11" s="251"/>
      <c r="R11" s="505"/>
      <c r="V11" s="256" t="str">
        <f>IF(B11="","",IF(LEFT($B11,3)="AIR",X11,IF(OR(B11=$Y$1,B11=$Y$2,B11=$Y$3,B11=$Y$4,B11=$Y$5,B11=$Y$6,B11=$Y$7,B11=$Y$8,B11=$Y$9,B11=$Y$10,B11=$Y$11,B11=$Y$12,B11=$Y$13,B11=$Y$14,B11=$Y$15,B11=$Y$16,B11=$Y$17,B11=$Y$18),(C11*D11*$D$3/(M11*1000)),(C11*D11/(M11*1000)))))</f>
        <v/>
      </c>
      <c r="W11" s="194" t="str">
        <f>IF(B11="","",VLOOKUP(B11,Materials!A:B,2,FALSE))</f>
        <v/>
      </c>
      <c r="X11" s="291" t="str">
        <f>IF(E11="","",VLOOKUP(E11,Materials!F:G,2,FALSE))</f>
        <v/>
      </c>
      <c r="Y11" s="434" t="s">
        <v>216</v>
      </c>
    </row>
    <row r="12" spans="1:26" ht="21" customHeight="1">
      <c r="A12" s="264">
        <v>7</v>
      </c>
      <c r="B12" s="183"/>
      <c r="C12" s="184"/>
      <c r="D12" s="185" t="str">
        <f>IF(B12="","",1)</f>
        <v/>
      </c>
      <c r="E12" s="195"/>
      <c r="F12" s="261"/>
      <c r="G12" s="509"/>
      <c r="H12" s="251"/>
      <c r="I12" s="186"/>
      <c r="J12" s="187"/>
      <c r="K12" s="188"/>
      <c r="L12" s="189"/>
      <c r="M12" s="190"/>
      <c r="N12" s="191" t="str">
        <f>IF(LEFT($B12,3)="AIR",CONCATENATE($X12," m2K/W"),$W12)</f>
        <v/>
      </c>
      <c r="O12" s="192"/>
      <c r="P12" s="193"/>
      <c r="Q12" s="251"/>
      <c r="R12" s="505"/>
      <c r="V12" s="256" t="str">
        <f>IF(B12="","",IF(LEFT($B12,3)="AIR",X12,IF(OR(B12=$Y$1,B12=$Y$2,B12=$Y$3,B12=$Y$4,B12=$Y$5,B12=$Y$6,B12=$Y$7,B12=$Y$8,B12=$Y$9,B12=$Y$10,B12=$Y$11,B12=$Y$12,B12=$Y$13,B12=$Y$14,B12=$Y$15,B12=$Y$16,B12=$Y$17,B12=$Y$18),(C12*D12*$D$3/(N12*1000)),(C12*D12/(N12*1000)))))</f>
        <v/>
      </c>
      <c r="W12" s="194" t="str">
        <f>IF(B12="","",VLOOKUP(B12,Materials!A:B,2,FALSE))</f>
        <v/>
      </c>
      <c r="X12" s="291" t="str">
        <f>IF(E12="","",VLOOKUP(E12,Materials!F:G,2,FALSE))</f>
        <v/>
      </c>
      <c r="Y12" s="434" t="s">
        <v>223</v>
      </c>
    </row>
    <row r="13" spans="1:26" ht="21" customHeight="1">
      <c r="A13" s="264">
        <v>8</v>
      </c>
      <c r="B13" s="183"/>
      <c r="C13" s="184"/>
      <c r="D13" s="185" t="str">
        <f>IF(B13="","",1)</f>
        <v/>
      </c>
      <c r="E13" s="195"/>
      <c r="F13" s="261"/>
      <c r="G13" s="509"/>
      <c r="H13" s="251"/>
      <c r="I13" s="186"/>
      <c r="J13" s="187"/>
      <c r="K13" s="188"/>
      <c r="L13" s="189"/>
      <c r="M13" s="190"/>
      <c r="N13" s="191"/>
      <c r="O13" s="192" t="str">
        <f>IF(LEFT($B13,3)="AIR",CONCATENATE($X13," m2K/W"),$W13)</f>
        <v/>
      </c>
      <c r="P13" s="193"/>
      <c r="Q13" s="251"/>
      <c r="R13" s="505"/>
      <c r="V13" s="256" t="str">
        <f>IF(B13="","",IF(LEFT($B13,3)="AIR",X13,IF(OR(B13=$Y$1,B13=$Y$2,B13=$Y$3,B13=$Y$4,B13=$Y$5,B13=$Y$6,B13=$Y$7,B13=$Y$8,B13=$Y$9,B13=$Y$10,B13=$Y$11,B13=$Y$12,B13=$Y$13,B13=$Y$14,B13=$Y$15,B13=$Y$16,B13=$Y$17,B13=$Y$18),(C13*D13*$D$3/(O13*1000)),(C13*D13/(O13*1000)))))</f>
        <v/>
      </c>
      <c r="W13" s="194" t="str">
        <f>IF(B13="","",VLOOKUP(B13,Materials!A:B,2,FALSE))</f>
        <v/>
      </c>
      <c r="X13" s="291" t="str">
        <f>IF(E13="","",VLOOKUP(E13,Materials!F:G,2,FALSE))</f>
        <v/>
      </c>
      <c r="Y13" s="434" t="s">
        <v>227</v>
      </c>
    </row>
    <row r="14" spans="1:26" ht="21" customHeight="1">
      <c r="A14" s="264">
        <v>9</v>
      </c>
      <c r="B14" s="183"/>
      <c r="C14" s="184"/>
      <c r="D14" s="185" t="str">
        <f t="shared" si="0"/>
        <v/>
      </c>
      <c r="E14" s="195"/>
      <c r="F14" s="261"/>
      <c r="G14" s="509"/>
      <c r="H14" s="251"/>
      <c r="I14" s="186"/>
      <c r="J14" s="187"/>
      <c r="K14" s="188"/>
      <c r="L14" s="189"/>
      <c r="M14" s="190"/>
      <c r="N14" s="191"/>
      <c r="O14" s="192"/>
      <c r="P14" s="193" t="str">
        <f>IF(LEFT($B14,3)="AIR",CONCATENATE($X14," m2K/W"),$W14)</f>
        <v/>
      </c>
      <c r="Q14" s="251"/>
      <c r="R14" s="505"/>
      <c r="V14" s="256" t="str">
        <f>IF(B14="","",IF(LEFT($B14,3)="AIR",X14,IF(OR(B14=$Y$1,B14=$Y$2,B14=$Y$3,B14=$Y$4,B14=$Y$5,B14=$Y$6,B14=$Y$7,B14=$Y$8,B14=$Y$9,B14=$Y$10,B14=$Y$11,B14=$Y$12,B14=$Y$13,B14=$Y$14,B14=$Y$15,B14=$Y$16,B14=$Y$17,B14=$Y$18),(C14*D14*$D$3/(P14*1000)),(C14*D14/(P14*1000)))))</f>
        <v/>
      </c>
      <c r="W14" s="194" t="str">
        <f>IF(B14="","",VLOOKUP(B14,Materials!A:B,2,FALSE))</f>
        <v/>
      </c>
      <c r="X14" s="291" t="str">
        <f>IF(E14="","",VLOOKUP(E14,Materials!F:G,2,FALSE))</f>
        <v/>
      </c>
      <c r="Y14" s="434" t="s">
        <v>803</v>
      </c>
    </row>
    <row r="15" spans="1:26" ht="21" customHeight="1" thickBot="1">
      <c r="A15" s="264">
        <v>10</v>
      </c>
      <c r="B15" s="196"/>
      <c r="C15" s="197"/>
      <c r="D15" s="198" t="str">
        <f t="shared" si="0"/>
        <v/>
      </c>
      <c r="E15" s="217"/>
      <c r="F15" s="261"/>
      <c r="G15" s="509"/>
      <c r="H15" s="252"/>
      <c r="I15" s="199"/>
      <c r="J15" s="200"/>
      <c r="K15" s="201"/>
      <c r="L15" s="202"/>
      <c r="M15" s="203"/>
      <c r="N15" s="204"/>
      <c r="O15" s="205"/>
      <c r="P15" s="206"/>
      <c r="Q15" s="252" t="str">
        <f>IF(LEFT($B15,3)="AIR",CONCATENATE($X15," m2K/W"),$W15)</f>
        <v/>
      </c>
      <c r="R15" s="505"/>
      <c r="V15" s="257" t="str">
        <f>IF(B15="","",IF(LEFT($B15,3)="AIR",X15,IF(OR(B15=$Y$1,B15=$Y$2,B15=$Y$3,B15=$Y$4,B15=$Y$5,B15=$Y$6,B15=$Y$7,B15=$Y$8,B15=$Y$9,B15=$Y$10,B15=$Y$11,B15=$Y$12,B15=$Y$13,B15=$Y$14,B15=$Y$15,B15=$Y$16,B15=$Y$17,B15=$Y$18),(C15*D15*$D$3/(Q15*1000)),(C15*D15/(Q15*1000)))))</f>
        <v/>
      </c>
      <c r="W15" s="194" t="str">
        <f>IF(B15="","",VLOOKUP(B15,Materials!A:B,2,FALSE))</f>
        <v/>
      </c>
      <c r="X15" s="291" t="str">
        <f>IF(E15="","",VLOOKUP(E15,Materials!F:G,2,FALSE))</f>
        <v/>
      </c>
      <c r="Y15" s="434" t="s">
        <v>230</v>
      </c>
    </row>
    <row r="16" spans="1:26">
      <c r="A16" s="262"/>
      <c r="B16" s="260" t="s">
        <v>272</v>
      </c>
      <c r="C16" s="248">
        <f>SUMPRODUCT(C6:D15)</f>
        <v>113</v>
      </c>
      <c r="D16" s="179"/>
      <c r="E16" s="171"/>
      <c r="F16" s="171"/>
      <c r="G16" s="303">
        <v>21</v>
      </c>
      <c r="H16" s="304">
        <f>$G$16-(V6*($G$16-$R$16)/$V$16)</f>
        <v>10.16754617414248</v>
      </c>
      <c r="I16" s="304">
        <f>$G$16-(SUM($V6:$V7)*($G$16-$R$16)/$V$16)</f>
        <v>1.8232189973614794</v>
      </c>
      <c r="J16" s="304">
        <f>$G$16-(SUM($V6:$V8)*($G$16-$R$16)/$V$16)</f>
        <v>-2</v>
      </c>
      <c r="K16" s="304">
        <f>$G$16-(SUM($V6:$V9)*($G$16-$R$16)/$V$16)</f>
        <v>-2</v>
      </c>
      <c r="L16" s="304">
        <f>$G$16-(SUM($V6:$V10)*($G$16-$R$16)/$V$16)</f>
        <v>-2</v>
      </c>
      <c r="M16" s="304">
        <f>$G$16-(SUM($V6:$V11)*($G$16-$R$16)/$V$16)</f>
        <v>-2</v>
      </c>
      <c r="N16" s="304">
        <f>$G$16-(SUM($V6:$V12)*($G$16-$R$16)/$V$16)</f>
        <v>-2</v>
      </c>
      <c r="O16" s="304">
        <f>$G$16-(SUM($V6:$V13)*($G$16-$R$16)/$V$16)</f>
        <v>-2</v>
      </c>
      <c r="P16" s="304">
        <f>$G$16-(SUM($V6:$V14)*($G$16-$R$16)/$V$16)</f>
        <v>-2</v>
      </c>
      <c r="Q16" s="304">
        <f>$G$16-(SUM($V6:$V15)*($G$16-$R$16)/$V$16)</f>
        <v>-2</v>
      </c>
      <c r="R16" s="303">
        <v>-2</v>
      </c>
      <c r="V16" s="258">
        <f>SUM(V6:V15)</f>
        <v>0.36095238095238097</v>
      </c>
      <c r="X16" s="291"/>
      <c r="Y16" s="434" t="s">
        <v>853</v>
      </c>
    </row>
    <row r="17" spans="1:26" ht="18">
      <c r="A17" s="262"/>
      <c r="B17" s="170"/>
      <c r="C17" s="179"/>
      <c r="D17" s="179"/>
      <c r="E17" s="171"/>
      <c r="F17" s="171"/>
      <c r="J17" s="208" t="s">
        <v>273</v>
      </c>
      <c r="K17" s="506">
        <f>1/V16</f>
        <v>2.7704485488126647</v>
      </c>
      <c r="L17" s="506"/>
      <c r="M17" s="506"/>
    </row>
    <row r="18" spans="1:26" ht="14" thickBot="1">
      <c r="A18" s="262"/>
      <c r="B18" s="170"/>
      <c r="C18" s="179"/>
      <c r="D18" s="179"/>
      <c r="E18" s="171"/>
      <c r="F18" s="171"/>
    </row>
    <row r="19" spans="1:26" s="209" customFormat="1" ht="24" customHeight="1">
      <c r="A19" s="265"/>
      <c r="B19" s="210"/>
      <c r="C19" s="211"/>
      <c r="D19" s="211"/>
      <c r="E19" s="212"/>
      <c r="F19" s="212"/>
      <c r="H19" s="417" t="s">
        <v>854</v>
      </c>
      <c r="I19" s="418"/>
      <c r="J19" s="419"/>
      <c r="V19" s="213"/>
      <c r="W19" s="213"/>
      <c r="X19" s="293"/>
      <c r="Y19" s="435"/>
      <c r="Z19" s="220"/>
    </row>
    <row r="20" spans="1:26" ht="16">
      <c r="A20" s="262"/>
      <c r="B20" s="170"/>
      <c r="C20" s="179"/>
      <c r="D20" s="179"/>
      <c r="E20" s="171"/>
      <c r="F20" s="171"/>
      <c r="G20" s="207"/>
      <c r="H20" s="420" t="s">
        <v>285</v>
      </c>
      <c r="I20" s="423"/>
      <c r="J20" s="424"/>
    </row>
    <row r="21" spans="1:26" ht="16">
      <c r="A21" s="262"/>
      <c r="B21" s="170"/>
      <c r="C21" s="179"/>
      <c r="D21" s="179"/>
      <c r="E21" s="171"/>
      <c r="F21" s="171"/>
      <c r="H21" s="420" t="s">
        <v>283</v>
      </c>
      <c r="I21" s="423"/>
      <c r="J21" s="424"/>
    </row>
    <row r="22" spans="1:26" ht="16">
      <c r="A22" s="262"/>
      <c r="B22" s="170"/>
      <c r="C22" s="179"/>
      <c r="D22" s="179"/>
      <c r="E22" s="171"/>
      <c r="F22" s="171"/>
      <c r="H22" s="420" t="s">
        <v>849</v>
      </c>
      <c r="I22" s="423"/>
      <c r="J22" s="424"/>
    </row>
    <row r="23" spans="1:26" ht="16">
      <c r="A23" s="262"/>
      <c r="B23" s="170"/>
      <c r="C23" s="179"/>
      <c r="D23" s="179"/>
      <c r="E23" s="171"/>
      <c r="F23" s="171"/>
      <c r="H23" s="420" t="s">
        <v>850</v>
      </c>
      <c r="I23" s="423"/>
      <c r="J23" s="424"/>
    </row>
    <row r="24" spans="1:26" ht="17" thickBot="1">
      <c r="A24" s="262"/>
      <c r="B24" s="170"/>
      <c r="C24" s="179"/>
      <c r="D24" s="179"/>
      <c r="E24" s="171"/>
      <c r="F24" s="171"/>
      <c r="H24" s="421" t="s">
        <v>286</v>
      </c>
      <c r="I24" s="426"/>
      <c r="J24" s="427"/>
    </row>
    <row r="29" spans="1:26">
      <c r="I29" s="216"/>
    </row>
    <row r="30" spans="1:26">
      <c r="I30" s="216"/>
    </row>
    <row r="31" spans="1:26">
      <c r="C31" s="215" t="s">
        <v>593</v>
      </c>
      <c r="D31" s="428">
        <v>100</v>
      </c>
      <c r="E31" s="174"/>
      <c r="F31" s="174"/>
    </row>
    <row r="32" spans="1:26">
      <c r="C32" s="215" t="s">
        <v>594</v>
      </c>
      <c r="D32" s="429">
        <v>18</v>
      </c>
      <c r="E32" s="174"/>
      <c r="F32" s="174"/>
    </row>
    <row r="33" spans="3:15" ht="14">
      <c r="C33" s="215" t="s">
        <v>596</v>
      </c>
      <c r="D33" s="429">
        <v>7</v>
      </c>
      <c r="E33" s="174"/>
      <c r="F33" s="174"/>
      <c r="G33" s="341"/>
      <c r="H33" s="341"/>
      <c r="M33" s="314"/>
      <c r="N33" s="314"/>
      <c r="O33" s="314"/>
    </row>
    <row r="34" spans="3:15" ht="15">
      <c r="C34" s="215" t="s">
        <v>597</v>
      </c>
      <c r="D34" s="429">
        <v>28</v>
      </c>
      <c r="E34" s="174"/>
      <c r="F34" s="174"/>
      <c r="M34" s="306"/>
      <c r="N34" s="315"/>
      <c r="O34" s="315"/>
    </row>
    <row r="35" spans="3:15">
      <c r="C35" s="216" t="s">
        <v>598</v>
      </c>
      <c r="D35" s="429">
        <v>22</v>
      </c>
      <c r="E35" s="174"/>
      <c r="F35" s="174"/>
    </row>
    <row r="36" spans="3:15">
      <c r="C36" s="216" t="s">
        <v>595</v>
      </c>
      <c r="D36" s="429">
        <v>6</v>
      </c>
      <c r="E36" s="174"/>
      <c r="F36" s="174"/>
    </row>
    <row r="37" spans="3:15">
      <c r="C37" s="216" t="s">
        <v>599</v>
      </c>
      <c r="D37" s="430">
        <v>0.12</v>
      </c>
      <c r="E37" s="174"/>
      <c r="F37" s="174"/>
    </row>
    <row r="38" spans="3:15">
      <c r="C38" s="216" t="s">
        <v>600</v>
      </c>
      <c r="D38" s="431">
        <v>0.8</v>
      </c>
      <c r="E38" s="305">
        <f>K17*D31*(D35-D36)*D32*D33*D34*D37/(1000*D38)</f>
        <v>2345.7941952506594</v>
      </c>
      <c r="F38" s="503">
        <f>D31</f>
        <v>100</v>
      </c>
      <c r="G38" s="503"/>
      <c r="H38" s="503"/>
    </row>
  </sheetData>
  <mergeCells count="6">
    <mergeCell ref="F38:H38"/>
    <mergeCell ref="B1:E1"/>
    <mergeCell ref="R6:R15"/>
    <mergeCell ref="K17:M17"/>
    <mergeCell ref="H2:Q2"/>
    <mergeCell ref="G6:G15"/>
  </mergeCells>
  <conditionalFormatting sqref="B2:B11 B13:B1048576">
    <cfRule type="cellIs" dxfId="50" priority="75" operator="equal">
      <formula>"Rockwool"</formula>
    </cfRule>
    <cfRule type="cellIs" dxfId="49" priority="76" operator="equal">
      <formula>"Kingspan"</formula>
    </cfRule>
    <cfRule type="cellIs" dxfId="48" priority="77" operator="equal">
      <formula>"Celotex"</formula>
    </cfRule>
    <cfRule type="cellIs" dxfId="47" priority="78" operator="equal">
      <formula>"AIRSPACE 5"</formula>
    </cfRule>
    <cfRule type="cellIs" dxfId="46" priority="79" operator="equal">
      <formula>"AIRSPACE 4"</formula>
    </cfRule>
    <cfRule type="cellIs" dxfId="45" priority="80" operator="equal">
      <formula>"AIRSPACE 3"</formula>
    </cfRule>
    <cfRule type="cellIs" dxfId="44" priority="81" operator="equal">
      <formula>"AIRSPACE 2"</formula>
    </cfRule>
    <cfRule type="cellIs" dxfId="43" priority="82" operator="equal">
      <formula>"AIRSPACE 1"</formula>
    </cfRule>
  </conditionalFormatting>
  <conditionalFormatting sqref="G16:R16">
    <cfRule type="cellIs" dxfId="42" priority="74" operator="lessThan">
      <formula>0</formula>
    </cfRule>
  </conditionalFormatting>
  <conditionalFormatting sqref="B13">
    <cfRule type="cellIs" dxfId="41" priority="58" operator="equal">
      <formula>"Rockwool"</formula>
    </cfRule>
    <cfRule type="cellIs" dxfId="40" priority="59" operator="equal">
      <formula>"Kingspan"</formula>
    </cfRule>
    <cfRule type="cellIs" dxfId="39" priority="60" operator="equal">
      <formula>"Celotex"</formula>
    </cfRule>
    <cfRule type="cellIs" dxfId="38" priority="61" operator="equal">
      <formula>"AIRSPACE 5"</formula>
    </cfRule>
    <cfRule type="cellIs" dxfId="37" priority="62" operator="equal">
      <formula>"AIRSPACE 4"</formula>
    </cfRule>
    <cfRule type="cellIs" dxfId="36" priority="63" operator="equal">
      <formula>"AIRSPACE 3"</formula>
    </cfRule>
    <cfRule type="cellIs" dxfId="35" priority="64" operator="equal">
      <formula>"AIRSPACE 2"</formula>
    </cfRule>
    <cfRule type="cellIs" dxfId="34" priority="65" operator="equal">
      <formula>"AIRSPACE 1"</formula>
    </cfRule>
  </conditionalFormatting>
  <conditionalFormatting sqref="B12">
    <cfRule type="cellIs" dxfId="33" priority="34" operator="equal">
      <formula>"Rockwool"</formula>
    </cfRule>
    <cfRule type="cellIs" dxfId="32" priority="35" operator="equal">
      <formula>"Kingspan"</formula>
    </cfRule>
    <cfRule type="cellIs" dxfId="31" priority="36" operator="equal">
      <formula>"Celotex"</formula>
    </cfRule>
    <cfRule type="cellIs" dxfId="30" priority="37" operator="equal">
      <formula>"AIRSPACE 5"</formula>
    </cfRule>
    <cfRule type="cellIs" dxfId="29" priority="38" operator="equal">
      <formula>"AIRSPACE 4"</formula>
    </cfRule>
    <cfRule type="cellIs" dxfId="28" priority="39" operator="equal">
      <formula>"AIRSPACE 3"</formula>
    </cfRule>
    <cfRule type="cellIs" dxfId="27" priority="40" operator="equal">
      <formula>"AIRSPACE 2"</formula>
    </cfRule>
    <cfRule type="cellIs" dxfId="26" priority="41" operator="equal">
      <formula>"AIRSPACE 1"</formula>
    </cfRule>
  </conditionalFormatting>
  <conditionalFormatting sqref="D6:D15">
    <cfRule type="cellIs" dxfId="25" priority="25" operator="notEqual">
      <formula>1</formula>
    </cfRule>
  </conditionalFormatting>
  <conditionalFormatting sqref="B12">
    <cfRule type="cellIs" dxfId="24" priority="1" operator="equal">
      <formula>"Rockwool"</formula>
    </cfRule>
    <cfRule type="cellIs" dxfId="23" priority="2" operator="equal">
      <formula>"Kingspan"</formula>
    </cfRule>
    <cfRule type="cellIs" dxfId="22" priority="3" operator="equal">
      <formula>"Celotex"</formula>
    </cfRule>
    <cfRule type="cellIs" dxfId="21" priority="4" operator="equal">
      <formula>"AIRSPACE 5"</formula>
    </cfRule>
    <cfRule type="cellIs" dxfId="20" priority="5" operator="equal">
      <formula>"AIRSPACE 4"</formula>
    </cfRule>
    <cfRule type="cellIs" dxfId="19" priority="6" operator="equal">
      <formula>"AIRSPACE 3"</formula>
    </cfRule>
    <cfRule type="cellIs" dxfId="18" priority="7" operator="equal">
      <formula>"AIRSPACE 2"</formula>
    </cfRule>
    <cfRule type="cellIs" dxfId="17" priority="8" operator="equal">
      <formula>"AIRSPACE 1"</formula>
    </cfRule>
  </conditionalFormatting>
  <conditionalFormatting sqref="B13">
    <cfRule type="cellIs" dxfId="16" priority="9" operator="equal">
      <formula>"Rockwool"</formula>
    </cfRule>
    <cfRule type="cellIs" dxfId="15" priority="10" operator="equal">
      <formula>"Kingspan"</formula>
    </cfRule>
    <cfRule type="cellIs" dxfId="14" priority="11" operator="equal">
      <formula>"Celotex"</formula>
    </cfRule>
    <cfRule type="cellIs" dxfId="13" priority="12" operator="equal">
      <formula>"AIRSPACE 5"</formula>
    </cfRule>
    <cfRule type="cellIs" dxfId="12" priority="13" operator="equal">
      <formula>"AIRSPACE 4"</formula>
    </cfRule>
    <cfRule type="cellIs" dxfId="11" priority="14" operator="equal">
      <formula>"AIRSPACE 3"</formula>
    </cfRule>
    <cfRule type="cellIs" dxfId="10" priority="15" operator="equal">
      <formula>"AIRSPACE 2"</formula>
    </cfRule>
    <cfRule type="cellIs" dxfId="9" priority="16" operator="equal">
      <formula>"AIRSPACE 1"</formula>
    </cfRule>
  </conditionalFormatting>
  <printOptions horizontalCentered="1" verticalCentered="1"/>
  <pageMargins left="0.25" right="0.25" top="0.75" bottom="0.75" header="0.3" footer="0.3"/>
  <pageSetup paperSize="9" scale="70" fitToHeight="0" orientation="landscape"/>
  <headerFooter alignWithMargins="0">
    <oddFooter>&amp;L&amp;D&amp;CTSA&amp;R&amp;F&amp;A</oddFooter>
  </headerFooter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Materials!$F:$F</xm:f>
          </x14:formula1>
          <xm:sqref>E6:E15</xm:sqref>
        </x14:dataValidation>
        <x14:dataValidation type="list" allowBlank="1" showInputMessage="1" xr:uid="{2C27C983-2570-8B44-AA9E-2B4E4724993F}">
          <x14:formula1>
            <xm:f>Materials!$A:$A</xm:f>
          </x14:formula1>
          <xm:sqref>B2:B1048576</xm:sqref>
        </x14:dataValidation>
        <x14:dataValidation type="list" allowBlank="1" showInputMessage="1" showErrorMessage="1" xr:uid="{7F20A030-DCF4-0A46-BDC8-7C406BF622A2}">
          <x14:formula1>
            <xm:f>Materials!$A:$A</xm:f>
          </x14:formula1>
          <xm:sqref>Y1:Y1048576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AC48E-40D5-694C-AEF1-1756C02CD9BF}">
  <sheetPr>
    <tabColor rgb="FFFFC000"/>
    <pageSetUpPr fitToPage="1"/>
  </sheetPr>
  <dimension ref="A1:N38"/>
  <sheetViews>
    <sheetView showGridLines="0" topLeftCell="A3" zoomScaleNormal="100" workbookViewId="0">
      <selection activeCell="A7" sqref="A7:XFD7"/>
    </sheetView>
  </sheetViews>
  <sheetFormatPr baseColWidth="10" defaultColWidth="9.1640625" defaultRowHeight="13"/>
  <cols>
    <col min="1" max="1" width="24.83203125" style="345" customWidth="1"/>
    <col min="2" max="2" width="12.83203125" style="345" bestFit="1" customWidth="1"/>
    <col min="3" max="3" width="14.1640625" style="345" customWidth="1"/>
    <col min="4" max="6" width="15.5" style="345" customWidth="1"/>
    <col min="7" max="7" width="17.5" style="346" bestFit="1" customWidth="1"/>
    <col min="8" max="8" width="16.5" style="346" customWidth="1"/>
    <col min="9" max="9" width="12.1640625" style="347" hidden="1" customWidth="1"/>
    <col min="10" max="10" width="16.33203125" style="346" customWidth="1"/>
    <col min="11" max="11" width="11.5" style="348" bestFit="1" customWidth="1"/>
    <col min="12" max="13" width="14.33203125" style="349" bestFit="1" customWidth="1"/>
    <col min="14" max="14" width="12.6640625" style="345" customWidth="1"/>
    <col min="15" max="256" width="9.1640625" style="345"/>
    <col min="257" max="257" width="24.83203125" style="345" customWidth="1"/>
    <col min="258" max="258" width="12.83203125" style="345" bestFit="1" customWidth="1"/>
    <col min="259" max="259" width="14.1640625" style="345" customWidth="1"/>
    <col min="260" max="262" width="15.5" style="345" customWidth="1"/>
    <col min="263" max="263" width="17.5" style="345" bestFit="1" customWidth="1"/>
    <col min="264" max="264" width="16.5" style="345" customWidth="1"/>
    <col min="265" max="265" width="0" style="345" hidden="1" customWidth="1"/>
    <col min="266" max="266" width="16.33203125" style="345" customWidth="1"/>
    <col min="267" max="267" width="11.5" style="345" bestFit="1" customWidth="1"/>
    <col min="268" max="269" width="14.33203125" style="345" bestFit="1" customWidth="1"/>
    <col min="270" max="270" width="12.6640625" style="345" customWidth="1"/>
    <col min="271" max="512" width="9.1640625" style="345"/>
    <col min="513" max="513" width="24.83203125" style="345" customWidth="1"/>
    <col min="514" max="514" width="12.83203125" style="345" bestFit="1" customWidth="1"/>
    <col min="515" max="515" width="14.1640625" style="345" customWidth="1"/>
    <col min="516" max="518" width="15.5" style="345" customWidth="1"/>
    <col min="519" max="519" width="17.5" style="345" bestFit="1" customWidth="1"/>
    <col min="520" max="520" width="16.5" style="345" customWidth="1"/>
    <col min="521" max="521" width="0" style="345" hidden="1" customWidth="1"/>
    <col min="522" max="522" width="16.33203125" style="345" customWidth="1"/>
    <col min="523" max="523" width="11.5" style="345" bestFit="1" customWidth="1"/>
    <col min="524" max="525" width="14.33203125" style="345" bestFit="1" customWidth="1"/>
    <col min="526" max="526" width="12.6640625" style="345" customWidth="1"/>
    <col min="527" max="768" width="9.1640625" style="345"/>
    <col min="769" max="769" width="24.83203125" style="345" customWidth="1"/>
    <col min="770" max="770" width="12.83203125" style="345" bestFit="1" customWidth="1"/>
    <col min="771" max="771" width="14.1640625" style="345" customWidth="1"/>
    <col min="772" max="774" width="15.5" style="345" customWidth="1"/>
    <col min="775" max="775" width="17.5" style="345" bestFit="1" customWidth="1"/>
    <col min="776" max="776" width="16.5" style="345" customWidth="1"/>
    <col min="777" max="777" width="0" style="345" hidden="1" customWidth="1"/>
    <col min="778" max="778" width="16.33203125" style="345" customWidth="1"/>
    <col min="779" max="779" width="11.5" style="345" bestFit="1" customWidth="1"/>
    <col min="780" max="781" width="14.33203125" style="345" bestFit="1" customWidth="1"/>
    <col min="782" max="782" width="12.6640625" style="345" customWidth="1"/>
    <col min="783" max="1024" width="9.1640625" style="345"/>
    <col min="1025" max="1025" width="24.83203125" style="345" customWidth="1"/>
    <col min="1026" max="1026" width="12.83203125" style="345" bestFit="1" customWidth="1"/>
    <col min="1027" max="1027" width="14.1640625" style="345" customWidth="1"/>
    <col min="1028" max="1030" width="15.5" style="345" customWidth="1"/>
    <col min="1031" max="1031" width="17.5" style="345" bestFit="1" customWidth="1"/>
    <col min="1032" max="1032" width="16.5" style="345" customWidth="1"/>
    <col min="1033" max="1033" width="0" style="345" hidden="1" customWidth="1"/>
    <col min="1034" max="1034" width="16.33203125" style="345" customWidth="1"/>
    <col min="1035" max="1035" width="11.5" style="345" bestFit="1" customWidth="1"/>
    <col min="1036" max="1037" width="14.33203125" style="345" bestFit="1" customWidth="1"/>
    <col min="1038" max="1038" width="12.6640625" style="345" customWidth="1"/>
    <col min="1039" max="1280" width="9.1640625" style="345"/>
    <col min="1281" max="1281" width="24.83203125" style="345" customWidth="1"/>
    <col min="1282" max="1282" width="12.83203125" style="345" bestFit="1" customWidth="1"/>
    <col min="1283" max="1283" width="14.1640625" style="345" customWidth="1"/>
    <col min="1284" max="1286" width="15.5" style="345" customWidth="1"/>
    <col min="1287" max="1287" width="17.5" style="345" bestFit="1" customWidth="1"/>
    <col min="1288" max="1288" width="16.5" style="345" customWidth="1"/>
    <col min="1289" max="1289" width="0" style="345" hidden="1" customWidth="1"/>
    <col min="1290" max="1290" width="16.33203125" style="345" customWidth="1"/>
    <col min="1291" max="1291" width="11.5" style="345" bestFit="1" customWidth="1"/>
    <col min="1292" max="1293" width="14.33203125" style="345" bestFit="1" customWidth="1"/>
    <col min="1294" max="1294" width="12.6640625" style="345" customWidth="1"/>
    <col min="1295" max="1536" width="9.1640625" style="345"/>
    <col min="1537" max="1537" width="24.83203125" style="345" customWidth="1"/>
    <col min="1538" max="1538" width="12.83203125" style="345" bestFit="1" customWidth="1"/>
    <col min="1539" max="1539" width="14.1640625" style="345" customWidth="1"/>
    <col min="1540" max="1542" width="15.5" style="345" customWidth="1"/>
    <col min="1543" max="1543" width="17.5" style="345" bestFit="1" customWidth="1"/>
    <col min="1544" max="1544" width="16.5" style="345" customWidth="1"/>
    <col min="1545" max="1545" width="0" style="345" hidden="1" customWidth="1"/>
    <col min="1546" max="1546" width="16.33203125" style="345" customWidth="1"/>
    <col min="1547" max="1547" width="11.5" style="345" bestFit="1" customWidth="1"/>
    <col min="1548" max="1549" width="14.33203125" style="345" bestFit="1" customWidth="1"/>
    <col min="1550" max="1550" width="12.6640625" style="345" customWidth="1"/>
    <col min="1551" max="1792" width="9.1640625" style="345"/>
    <col min="1793" max="1793" width="24.83203125" style="345" customWidth="1"/>
    <col min="1794" max="1794" width="12.83203125" style="345" bestFit="1" customWidth="1"/>
    <col min="1795" max="1795" width="14.1640625" style="345" customWidth="1"/>
    <col min="1796" max="1798" width="15.5" style="345" customWidth="1"/>
    <col min="1799" max="1799" width="17.5" style="345" bestFit="1" customWidth="1"/>
    <col min="1800" max="1800" width="16.5" style="345" customWidth="1"/>
    <col min="1801" max="1801" width="0" style="345" hidden="1" customWidth="1"/>
    <col min="1802" max="1802" width="16.33203125" style="345" customWidth="1"/>
    <col min="1803" max="1803" width="11.5" style="345" bestFit="1" customWidth="1"/>
    <col min="1804" max="1805" width="14.33203125" style="345" bestFit="1" customWidth="1"/>
    <col min="1806" max="1806" width="12.6640625" style="345" customWidth="1"/>
    <col min="1807" max="2048" width="9.1640625" style="345"/>
    <col min="2049" max="2049" width="24.83203125" style="345" customWidth="1"/>
    <col min="2050" max="2050" width="12.83203125" style="345" bestFit="1" customWidth="1"/>
    <col min="2051" max="2051" width="14.1640625" style="345" customWidth="1"/>
    <col min="2052" max="2054" width="15.5" style="345" customWidth="1"/>
    <col min="2055" max="2055" width="17.5" style="345" bestFit="1" customWidth="1"/>
    <col min="2056" max="2056" width="16.5" style="345" customWidth="1"/>
    <col min="2057" max="2057" width="0" style="345" hidden="1" customWidth="1"/>
    <col min="2058" max="2058" width="16.33203125" style="345" customWidth="1"/>
    <col min="2059" max="2059" width="11.5" style="345" bestFit="1" customWidth="1"/>
    <col min="2060" max="2061" width="14.33203125" style="345" bestFit="1" customWidth="1"/>
    <col min="2062" max="2062" width="12.6640625" style="345" customWidth="1"/>
    <col min="2063" max="2304" width="9.1640625" style="345"/>
    <col min="2305" max="2305" width="24.83203125" style="345" customWidth="1"/>
    <col min="2306" max="2306" width="12.83203125" style="345" bestFit="1" customWidth="1"/>
    <col min="2307" max="2307" width="14.1640625" style="345" customWidth="1"/>
    <col min="2308" max="2310" width="15.5" style="345" customWidth="1"/>
    <col min="2311" max="2311" width="17.5" style="345" bestFit="1" customWidth="1"/>
    <col min="2312" max="2312" width="16.5" style="345" customWidth="1"/>
    <col min="2313" max="2313" width="0" style="345" hidden="1" customWidth="1"/>
    <col min="2314" max="2314" width="16.33203125" style="345" customWidth="1"/>
    <col min="2315" max="2315" width="11.5" style="345" bestFit="1" customWidth="1"/>
    <col min="2316" max="2317" width="14.33203125" style="345" bestFit="1" customWidth="1"/>
    <col min="2318" max="2318" width="12.6640625" style="345" customWidth="1"/>
    <col min="2319" max="2560" width="9.1640625" style="345"/>
    <col min="2561" max="2561" width="24.83203125" style="345" customWidth="1"/>
    <col min="2562" max="2562" width="12.83203125" style="345" bestFit="1" customWidth="1"/>
    <col min="2563" max="2563" width="14.1640625" style="345" customWidth="1"/>
    <col min="2564" max="2566" width="15.5" style="345" customWidth="1"/>
    <col min="2567" max="2567" width="17.5" style="345" bestFit="1" customWidth="1"/>
    <col min="2568" max="2568" width="16.5" style="345" customWidth="1"/>
    <col min="2569" max="2569" width="0" style="345" hidden="1" customWidth="1"/>
    <col min="2570" max="2570" width="16.33203125" style="345" customWidth="1"/>
    <col min="2571" max="2571" width="11.5" style="345" bestFit="1" customWidth="1"/>
    <col min="2572" max="2573" width="14.33203125" style="345" bestFit="1" customWidth="1"/>
    <col min="2574" max="2574" width="12.6640625" style="345" customWidth="1"/>
    <col min="2575" max="2816" width="9.1640625" style="345"/>
    <col min="2817" max="2817" width="24.83203125" style="345" customWidth="1"/>
    <col min="2818" max="2818" width="12.83203125" style="345" bestFit="1" customWidth="1"/>
    <col min="2819" max="2819" width="14.1640625" style="345" customWidth="1"/>
    <col min="2820" max="2822" width="15.5" style="345" customWidth="1"/>
    <col min="2823" max="2823" width="17.5" style="345" bestFit="1" customWidth="1"/>
    <col min="2824" max="2824" width="16.5" style="345" customWidth="1"/>
    <col min="2825" max="2825" width="0" style="345" hidden="1" customWidth="1"/>
    <col min="2826" max="2826" width="16.33203125" style="345" customWidth="1"/>
    <col min="2827" max="2827" width="11.5" style="345" bestFit="1" customWidth="1"/>
    <col min="2828" max="2829" width="14.33203125" style="345" bestFit="1" customWidth="1"/>
    <col min="2830" max="2830" width="12.6640625" style="345" customWidth="1"/>
    <col min="2831" max="3072" width="9.1640625" style="345"/>
    <col min="3073" max="3073" width="24.83203125" style="345" customWidth="1"/>
    <col min="3074" max="3074" width="12.83203125" style="345" bestFit="1" customWidth="1"/>
    <col min="3075" max="3075" width="14.1640625" style="345" customWidth="1"/>
    <col min="3076" max="3078" width="15.5" style="345" customWidth="1"/>
    <col min="3079" max="3079" width="17.5" style="345" bestFit="1" customWidth="1"/>
    <col min="3080" max="3080" width="16.5" style="345" customWidth="1"/>
    <col min="3081" max="3081" width="0" style="345" hidden="1" customWidth="1"/>
    <col min="3082" max="3082" width="16.33203125" style="345" customWidth="1"/>
    <col min="3083" max="3083" width="11.5" style="345" bestFit="1" customWidth="1"/>
    <col min="3084" max="3085" width="14.33203125" style="345" bestFit="1" customWidth="1"/>
    <col min="3086" max="3086" width="12.6640625" style="345" customWidth="1"/>
    <col min="3087" max="3328" width="9.1640625" style="345"/>
    <col min="3329" max="3329" width="24.83203125" style="345" customWidth="1"/>
    <col min="3330" max="3330" width="12.83203125" style="345" bestFit="1" customWidth="1"/>
    <col min="3331" max="3331" width="14.1640625" style="345" customWidth="1"/>
    <col min="3332" max="3334" width="15.5" style="345" customWidth="1"/>
    <col min="3335" max="3335" width="17.5" style="345" bestFit="1" customWidth="1"/>
    <col min="3336" max="3336" width="16.5" style="345" customWidth="1"/>
    <col min="3337" max="3337" width="0" style="345" hidden="1" customWidth="1"/>
    <col min="3338" max="3338" width="16.33203125" style="345" customWidth="1"/>
    <col min="3339" max="3339" width="11.5" style="345" bestFit="1" customWidth="1"/>
    <col min="3340" max="3341" width="14.33203125" style="345" bestFit="1" customWidth="1"/>
    <col min="3342" max="3342" width="12.6640625" style="345" customWidth="1"/>
    <col min="3343" max="3584" width="9.1640625" style="345"/>
    <col min="3585" max="3585" width="24.83203125" style="345" customWidth="1"/>
    <col min="3586" max="3586" width="12.83203125" style="345" bestFit="1" customWidth="1"/>
    <col min="3587" max="3587" width="14.1640625" style="345" customWidth="1"/>
    <col min="3588" max="3590" width="15.5" style="345" customWidth="1"/>
    <col min="3591" max="3591" width="17.5" style="345" bestFit="1" customWidth="1"/>
    <col min="3592" max="3592" width="16.5" style="345" customWidth="1"/>
    <col min="3593" max="3593" width="0" style="345" hidden="1" customWidth="1"/>
    <col min="3594" max="3594" width="16.33203125" style="345" customWidth="1"/>
    <col min="3595" max="3595" width="11.5" style="345" bestFit="1" customWidth="1"/>
    <col min="3596" max="3597" width="14.33203125" style="345" bestFit="1" customWidth="1"/>
    <col min="3598" max="3598" width="12.6640625" style="345" customWidth="1"/>
    <col min="3599" max="3840" width="9.1640625" style="345"/>
    <col min="3841" max="3841" width="24.83203125" style="345" customWidth="1"/>
    <col min="3842" max="3842" width="12.83203125" style="345" bestFit="1" customWidth="1"/>
    <col min="3843" max="3843" width="14.1640625" style="345" customWidth="1"/>
    <col min="3844" max="3846" width="15.5" style="345" customWidth="1"/>
    <col min="3847" max="3847" width="17.5" style="345" bestFit="1" customWidth="1"/>
    <col min="3848" max="3848" width="16.5" style="345" customWidth="1"/>
    <col min="3849" max="3849" width="0" style="345" hidden="1" customWidth="1"/>
    <col min="3850" max="3850" width="16.33203125" style="345" customWidth="1"/>
    <col min="3851" max="3851" width="11.5" style="345" bestFit="1" customWidth="1"/>
    <col min="3852" max="3853" width="14.33203125" style="345" bestFit="1" customWidth="1"/>
    <col min="3854" max="3854" width="12.6640625" style="345" customWidth="1"/>
    <col min="3855" max="4096" width="9.1640625" style="345"/>
    <col min="4097" max="4097" width="24.83203125" style="345" customWidth="1"/>
    <col min="4098" max="4098" width="12.83203125" style="345" bestFit="1" customWidth="1"/>
    <col min="4099" max="4099" width="14.1640625" style="345" customWidth="1"/>
    <col min="4100" max="4102" width="15.5" style="345" customWidth="1"/>
    <col min="4103" max="4103" width="17.5" style="345" bestFit="1" customWidth="1"/>
    <col min="4104" max="4104" width="16.5" style="345" customWidth="1"/>
    <col min="4105" max="4105" width="0" style="345" hidden="1" customWidth="1"/>
    <col min="4106" max="4106" width="16.33203125" style="345" customWidth="1"/>
    <col min="4107" max="4107" width="11.5" style="345" bestFit="1" customWidth="1"/>
    <col min="4108" max="4109" width="14.33203125" style="345" bestFit="1" customWidth="1"/>
    <col min="4110" max="4110" width="12.6640625" style="345" customWidth="1"/>
    <col min="4111" max="4352" width="9.1640625" style="345"/>
    <col min="4353" max="4353" width="24.83203125" style="345" customWidth="1"/>
    <col min="4354" max="4354" width="12.83203125" style="345" bestFit="1" customWidth="1"/>
    <col min="4355" max="4355" width="14.1640625" style="345" customWidth="1"/>
    <col min="4356" max="4358" width="15.5" style="345" customWidth="1"/>
    <col min="4359" max="4359" width="17.5" style="345" bestFit="1" customWidth="1"/>
    <col min="4360" max="4360" width="16.5" style="345" customWidth="1"/>
    <col min="4361" max="4361" width="0" style="345" hidden="1" customWidth="1"/>
    <col min="4362" max="4362" width="16.33203125" style="345" customWidth="1"/>
    <col min="4363" max="4363" width="11.5" style="345" bestFit="1" customWidth="1"/>
    <col min="4364" max="4365" width="14.33203125" style="345" bestFit="1" customWidth="1"/>
    <col min="4366" max="4366" width="12.6640625" style="345" customWidth="1"/>
    <col min="4367" max="4608" width="9.1640625" style="345"/>
    <col min="4609" max="4609" width="24.83203125" style="345" customWidth="1"/>
    <col min="4610" max="4610" width="12.83203125" style="345" bestFit="1" customWidth="1"/>
    <col min="4611" max="4611" width="14.1640625" style="345" customWidth="1"/>
    <col min="4612" max="4614" width="15.5" style="345" customWidth="1"/>
    <col min="4615" max="4615" width="17.5" style="345" bestFit="1" customWidth="1"/>
    <col min="4616" max="4616" width="16.5" style="345" customWidth="1"/>
    <col min="4617" max="4617" width="0" style="345" hidden="1" customWidth="1"/>
    <col min="4618" max="4618" width="16.33203125" style="345" customWidth="1"/>
    <col min="4619" max="4619" width="11.5" style="345" bestFit="1" customWidth="1"/>
    <col min="4620" max="4621" width="14.33203125" style="345" bestFit="1" customWidth="1"/>
    <col min="4622" max="4622" width="12.6640625" style="345" customWidth="1"/>
    <col min="4623" max="4864" width="9.1640625" style="345"/>
    <col min="4865" max="4865" width="24.83203125" style="345" customWidth="1"/>
    <col min="4866" max="4866" width="12.83203125" style="345" bestFit="1" customWidth="1"/>
    <col min="4867" max="4867" width="14.1640625" style="345" customWidth="1"/>
    <col min="4868" max="4870" width="15.5" style="345" customWidth="1"/>
    <col min="4871" max="4871" width="17.5" style="345" bestFit="1" customWidth="1"/>
    <col min="4872" max="4872" width="16.5" style="345" customWidth="1"/>
    <col min="4873" max="4873" width="0" style="345" hidden="1" customWidth="1"/>
    <col min="4874" max="4874" width="16.33203125" style="345" customWidth="1"/>
    <col min="4875" max="4875" width="11.5" style="345" bestFit="1" customWidth="1"/>
    <col min="4876" max="4877" width="14.33203125" style="345" bestFit="1" customWidth="1"/>
    <col min="4878" max="4878" width="12.6640625" style="345" customWidth="1"/>
    <col min="4879" max="5120" width="9.1640625" style="345"/>
    <col min="5121" max="5121" width="24.83203125" style="345" customWidth="1"/>
    <col min="5122" max="5122" width="12.83203125" style="345" bestFit="1" customWidth="1"/>
    <col min="5123" max="5123" width="14.1640625" style="345" customWidth="1"/>
    <col min="5124" max="5126" width="15.5" style="345" customWidth="1"/>
    <col min="5127" max="5127" width="17.5" style="345" bestFit="1" customWidth="1"/>
    <col min="5128" max="5128" width="16.5" style="345" customWidth="1"/>
    <col min="5129" max="5129" width="0" style="345" hidden="1" customWidth="1"/>
    <col min="5130" max="5130" width="16.33203125" style="345" customWidth="1"/>
    <col min="5131" max="5131" width="11.5" style="345" bestFit="1" customWidth="1"/>
    <col min="5132" max="5133" width="14.33203125" style="345" bestFit="1" customWidth="1"/>
    <col min="5134" max="5134" width="12.6640625" style="345" customWidth="1"/>
    <col min="5135" max="5376" width="9.1640625" style="345"/>
    <col min="5377" max="5377" width="24.83203125" style="345" customWidth="1"/>
    <col min="5378" max="5378" width="12.83203125" style="345" bestFit="1" customWidth="1"/>
    <col min="5379" max="5379" width="14.1640625" style="345" customWidth="1"/>
    <col min="5380" max="5382" width="15.5" style="345" customWidth="1"/>
    <col min="5383" max="5383" width="17.5" style="345" bestFit="1" customWidth="1"/>
    <col min="5384" max="5384" width="16.5" style="345" customWidth="1"/>
    <col min="5385" max="5385" width="0" style="345" hidden="1" customWidth="1"/>
    <col min="5386" max="5386" width="16.33203125" style="345" customWidth="1"/>
    <col min="5387" max="5387" width="11.5" style="345" bestFit="1" customWidth="1"/>
    <col min="5388" max="5389" width="14.33203125" style="345" bestFit="1" customWidth="1"/>
    <col min="5390" max="5390" width="12.6640625" style="345" customWidth="1"/>
    <col min="5391" max="5632" width="9.1640625" style="345"/>
    <col min="5633" max="5633" width="24.83203125" style="345" customWidth="1"/>
    <col min="5634" max="5634" width="12.83203125" style="345" bestFit="1" customWidth="1"/>
    <col min="5635" max="5635" width="14.1640625" style="345" customWidth="1"/>
    <col min="5636" max="5638" width="15.5" style="345" customWidth="1"/>
    <col min="5639" max="5639" width="17.5" style="345" bestFit="1" customWidth="1"/>
    <col min="5640" max="5640" width="16.5" style="345" customWidth="1"/>
    <col min="5641" max="5641" width="0" style="345" hidden="1" customWidth="1"/>
    <col min="5642" max="5642" width="16.33203125" style="345" customWidth="1"/>
    <col min="5643" max="5643" width="11.5" style="345" bestFit="1" customWidth="1"/>
    <col min="5644" max="5645" width="14.33203125" style="345" bestFit="1" customWidth="1"/>
    <col min="5646" max="5646" width="12.6640625" style="345" customWidth="1"/>
    <col min="5647" max="5888" width="9.1640625" style="345"/>
    <col min="5889" max="5889" width="24.83203125" style="345" customWidth="1"/>
    <col min="5890" max="5890" width="12.83203125" style="345" bestFit="1" customWidth="1"/>
    <col min="5891" max="5891" width="14.1640625" style="345" customWidth="1"/>
    <col min="5892" max="5894" width="15.5" style="345" customWidth="1"/>
    <col min="5895" max="5895" width="17.5" style="345" bestFit="1" customWidth="1"/>
    <col min="5896" max="5896" width="16.5" style="345" customWidth="1"/>
    <col min="5897" max="5897" width="0" style="345" hidden="1" customWidth="1"/>
    <col min="5898" max="5898" width="16.33203125" style="345" customWidth="1"/>
    <col min="5899" max="5899" width="11.5" style="345" bestFit="1" customWidth="1"/>
    <col min="5900" max="5901" width="14.33203125" style="345" bestFit="1" customWidth="1"/>
    <col min="5902" max="5902" width="12.6640625" style="345" customWidth="1"/>
    <col min="5903" max="6144" width="9.1640625" style="345"/>
    <col min="6145" max="6145" width="24.83203125" style="345" customWidth="1"/>
    <col min="6146" max="6146" width="12.83203125" style="345" bestFit="1" customWidth="1"/>
    <col min="6147" max="6147" width="14.1640625" style="345" customWidth="1"/>
    <col min="6148" max="6150" width="15.5" style="345" customWidth="1"/>
    <col min="6151" max="6151" width="17.5" style="345" bestFit="1" customWidth="1"/>
    <col min="6152" max="6152" width="16.5" style="345" customWidth="1"/>
    <col min="6153" max="6153" width="0" style="345" hidden="1" customWidth="1"/>
    <col min="6154" max="6154" width="16.33203125" style="345" customWidth="1"/>
    <col min="6155" max="6155" width="11.5" style="345" bestFit="1" customWidth="1"/>
    <col min="6156" max="6157" width="14.33203125" style="345" bestFit="1" customWidth="1"/>
    <col min="6158" max="6158" width="12.6640625" style="345" customWidth="1"/>
    <col min="6159" max="6400" width="9.1640625" style="345"/>
    <col min="6401" max="6401" width="24.83203125" style="345" customWidth="1"/>
    <col min="6402" max="6402" width="12.83203125" style="345" bestFit="1" customWidth="1"/>
    <col min="6403" max="6403" width="14.1640625" style="345" customWidth="1"/>
    <col min="6404" max="6406" width="15.5" style="345" customWidth="1"/>
    <col min="6407" max="6407" width="17.5" style="345" bestFit="1" customWidth="1"/>
    <col min="6408" max="6408" width="16.5" style="345" customWidth="1"/>
    <col min="6409" max="6409" width="0" style="345" hidden="1" customWidth="1"/>
    <col min="6410" max="6410" width="16.33203125" style="345" customWidth="1"/>
    <col min="6411" max="6411" width="11.5" style="345" bestFit="1" customWidth="1"/>
    <col min="6412" max="6413" width="14.33203125" style="345" bestFit="1" customWidth="1"/>
    <col min="6414" max="6414" width="12.6640625" style="345" customWidth="1"/>
    <col min="6415" max="6656" width="9.1640625" style="345"/>
    <col min="6657" max="6657" width="24.83203125" style="345" customWidth="1"/>
    <col min="6658" max="6658" width="12.83203125" style="345" bestFit="1" customWidth="1"/>
    <col min="6659" max="6659" width="14.1640625" style="345" customWidth="1"/>
    <col min="6660" max="6662" width="15.5" style="345" customWidth="1"/>
    <col min="6663" max="6663" width="17.5" style="345" bestFit="1" customWidth="1"/>
    <col min="6664" max="6664" width="16.5" style="345" customWidth="1"/>
    <col min="6665" max="6665" width="0" style="345" hidden="1" customWidth="1"/>
    <col min="6666" max="6666" width="16.33203125" style="345" customWidth="1"/>
    <col min="6667" max="6667" width="11.5" style="345" bestFit="1" customWidth="1"/>
    <col min="6668" max="6669" width="14.33203125" style="345" bestFit="1" customWidth="1"/>
    <col min="6670" max="6670" width="12.6640625" style="345" customWidth="1"/>
    <col min="6671" max="6912" width="9.1640625" style="345"/>
    <col min="6913" max="6913" width="24.83203125" style="345" customWidth="1"/>
    <col min="6914" max="6914" width="12.83203125" style="345" bestFit="1" customWidth="1"/>
    <col min="6915" max="6915" width="14.1640625" style="345" customWidth="1"/>
    <col min="6916" max="6918" width="15.5" style="345" customWidth="1"/>
    <col min="6919" max="6919" width="17.5" style="345" bestFit="1" customWidth="1"/>
    <col min="6920" max="6920" width="16.5" style="345" customWidth="1"/>
    <col min="6921" max="6921" width="0" style="345" hidden="1" customWidth="1"/>
    <col min="6922" max="6922" width="16.33203125" style="345" customWidth="1"/>
    <col min="6923" max="6923" width="11.5" style="345" bestFit="1" customWidth="1"/>
    <col min="6924" max="6925" width="14.33203125" style="345" bestFit="1" customWidth="1"/>
    <col min="6926" max="6926" width="12.6640625" style="345" customWidth="1"/>
    <col min="6927" max="7168" width="9.1640625" style="345"/>
    <col min="7169" max="7169" width="24.83203125" style="345" customWidth="1"/>
    <col min="7170" max="7170" width="12.83203125" style="345" bestFit="1" customWidth="1"/>
    <col min="7171" max="7171" width="14.1640625" style="345" customWidth="1"/>
    <col min="7172" max="7174" width="15.5" style="345" customWidth="1"/>
    <col min="7175" max="7175" width="17.5" style="345" bestFit="1" customWidth="1"/>
    <col min="7176" max="7176" width="16.5" style="345" customWidth="1"/>
    <col min="7177" max="7177" width="0" style="345" hidden="1" customWidth="1"/>
    <col min="7178" max="7178" width="16.33203125" style="345" customWidth="1"/>
    <col min="7179" max="7179" width="11.5" style="345" bestFit="1" customWidth="1"/>
    <col min="7180" max="7181" width="14.33203125" style="345" bestFit="1" customWidth="1"/>
    <col min="7182" max="7182" width="12.6640625" style="345" customWidth="1"/>
    <col min="7183" max="7424" width="9.1640625" style="345"/>
    <col min="7425" max="7425" width="24.83203125" style="345" customWidth="1"/>
    <col min="7426" max="7426" width="12.83203125" style="345" bestFit="1" customWidth="1"/>
    <col min="7427" max="7427" width="14.1640625" style="345" customWidth="1"/>
    <col min="7428" max="7430" width="15.5" style="345" customWidth="1"/>
    <col min="7431" max="7431" width="17.5" style="345" bestFit="1" customWidth="1"/>
    <col min="7432" max="7432" width="16.5" style="345" customWidth="1"/>
    <col min="7433" max="7433" width="0" style="345" hidden="1" customWidth="1"/>
    <col min="7434" max="7434" width="16.33203125" style="345" customWidth="1"/>
    <col min="7435" max="7435" width="11.5" style="345" bestFit="1" customWidth="1"/>
    <col min="7436" max="7437" width="14.33203125" style="345" bestFit="1" customWidth="1"/>
    <col min="7438" max="7438" width="12.6640625" style="345" customWidth="1"/>
    <col min="7439" max="7680" width="9.1640625" style="345"/>
    <col min="7681" max="7681" width="24.83203125" style="345" customWidth="1"/>
    <col min="7682" max="7682" width="12.83203125" style="345" bestFit="1" customWidth="1"/>
    <col min="7683" max="7683" width="14.1640625" style="345" customWidth="1"/>
    <col min="7684" max="7686" width="15.5" style="345" customWidth="1"/>
    <col min="7687" max="7687" width="17.5" style="345" bestFit="1" customWidth="1"/>
    <col min="7688" max="7688" width="16.5" style="345" customWidth="1"/>
    <col min="7689" max="7689" width="0" style="345" hidden="1" customWidth="1"/>
    <col min="7690" max="7690" width="16.33203125" style="345" customWidth="1"/>
    <col min="7691" max="7691" width="11.5" style="345" bestFit="1" customWidth="1"/>
    <col min="7692" max="7693" width="14.33203125" style="345" bestFit="1" customWidth="1"/>
    <col min="7694" max="7694" width="12.6640625" style="345" customWidth="1"/>
    <col min="7695" max="7936" width="9.1640625" style="345"/>
    <col min="7937" max="7937" width="24.83203125" style="345" customWidth="1"/>
    <col min="7938" max="7938" width="12.83203125" style="345" bestFit="1" customWidth="1"/>
    <col min="7939" max="7939" width="14.1640625" style="345" customWidth="1"/>
    <col min="7940" max="7942" width="15.5" style="345" customWidth="1"/>
    <col min="7943" max="7943" width="17.5" style="345" bestFit="1" customWidth="1"/>
    <col min="7944" max="7944" width="16.5" style="345" customWidth="1"/>
    <col min="7945" max="7945" width="0" style="345" hidden="1" customWidth="1"/>
    <col min="7946" max="7946" width="16.33203125" style="345" customWidth="1"/>
    <col min="7947" max="7947" width="11.5" style="345" bestFit="1" customWidth="1"/>
    <col min="7948" max="7949" width="14.33203125" style="345" bestFit="1" customWidth="1"/>
    <col min="7950" max="7950" width="12.6640625" style="345" customWidth="1"/>
    <col min="7951" max="8192" width="9.1640625" style="345"/>
    <col min="8193" max="8193" width="24.83203125" style="345" customWidth="1"/>
    <col min="8194" max="8194" width="12.83203125" style="345" bestFit="1" customWidth="1"/>
    <col min="8195" max="8195" width="14.1640625" style="345" customWidth="1"/>
    <col min="8196" max="8198" width="15.5" style="345" customWidth="1"/>
    <col min="8199" max="8199" width="17.5" style="345" bestFit="1" customWidth="1"/>
    <col min="8200" max="8200" width="16.5" style="345" customWidth="1"/>
    <col min="8201" max="8201" width="0" style="345" hidden="1" customWidth="1"/>
    <col min="8202" max="8202" width="16.33203125" style="345" customWidth="1"/>
    <col min="8203" max="8203" width="11.5" style="345" bestFit="1" customWidth="1"/>
    <col min="8204" max="8205" width="14.33203125" style="345" bestFit="1" customWidth="1"/>
    <col min="8206" max="8206" width="12.6640625" style="345" customWidth="1"/>
    <col min="8207" max="8448" width="9.1640625" style="345"/>
    <col min="8449" max="8449" width="24.83203125" style="345" customWidth="1"/>
    <col min="8450" max="8450" width="12.83203125" style="345" bestFit="1" customWidth="1"/>
    <col min="8451" max="8451" width="14.1640625" style="345" customWidth="1"/>
    <col min="8452" max="8454" width="15.5" style="345" customWidth="1"/>
    <col min="8455" max="8455" width="17.5" style="345" bestFit="1" customWidth="1"/>
    <col min="8456" max="8456" width="16.5" style="345" customWidth="1"/>
    <col min="8457" max="8457" width="0" style="345" hidden="1" customWidth="1"/>
    <col min="8458" max="8458" width="16.33203125" style="345" customWidth="1"/>
    <col min="8459" max="8459" width="11.5" style="345" bestFit="1" customWidth="1"/>
    <col min="8460" max="8461" width="14.33203125" style="345" bestFit="1" customWidth="1"/>
    <col min="8462" max="8462" width="12.6640625" style="345" customWidth="1"/>
    <col min="8463" max="8704" width="9.1640625" style="345"/>
    <col min="8705" max="8705" width="24.83203125" style="345" customWidth="1"/>
    <col min="8706" max="8706" width="12.83203125" style="345" bestFit="1" customWidth="1"/>
    <col min="8707" max="8707" width="14.1640625" style="345" customWidth="1"/>
    <col min="8708" max="8710" width="15.5" style="345" customWidth="1"/>
    <col min="8711" max="8711" width="17.5" style="345" bestFit="1" customWidth="1"/>
    <col min="8712" max="8712" width="16.5" style="345" customWidth="1"/>
    <col min="8713" max="8713" width="0" style="345" hidden="1" customWidth="1"/>
    <col min="8714" max="8714" width="16.33203125" style="345" customWidth="1"/>
    <col min="8715" max="8715" width="11.5" style="345" bestFit="1" customWidth="1"/>
    <col min="8716" max="8717" width="14.33203125" style="345" bestFit="1" customWidth="1"/>
    <col min="8718" max="8718" width="12.6640625" style="345" customWidth="1"/>
    <col min="8719" max="8960" width="9.1640625" style="345"/>
    <col min="8961" max="8961" width="24.83203125" style="345" customWidth="1"/>
    <col min="8962" max="8962" width="12.83203125" style="345" bestFit="1" customWidth="1"/>
    <col min="8963" max="8963" width="14.1640625" style="345" customWidth="1"/>
    <col min="8964" max="8966" width="15.5" style="345" customWidth="1"/>
    <col min="8967" max="8967" width="17.5" style="345" bestFit="1" customWidth="1"/>
    <col min="8968" max="8968" width="16.5" style="345" customWidth="1"/>
    <col min="8969" max="8969" width="0" style="345" hidden="1" customWidth="1"/>
    <col min="8970" max="8970" width="16.33203125" style="345" customWidth="1"/>
    <col min="8971" max="8971" width="11.5" style="345" bestFit="1" customWidth="1"/>
    <col min="8972" max="8973" width="14.33203125" style="345" bestFit="1" customWidth="1"/>
    <col min="8974" max="8974" width="12.6640625" style="345" customWidth="1"/>
    <col min="8975" max="9216" width="9.1640625" style="345"/>
    <col min="9217" max="9217" width="24.83203125" style="345" customWidth="1"/>
    <col min="9218" max="9218" width="12.83203125" style="345" bestFit="1" customWidth="1"/>
    <col min="9219" max="9219" width="14.1640625" style="345" customWidth="1"/>
    <col min="9220" max="9222" width="15.5" style="345" customWidth="1"/>
    <col min="9223" max="9223" width="17.5" style="345" bestFit="1" customWidth="1"/>
    <col min="9224" max="9224" width="16.5" style="345" customWidth="1"/>
    <col min="9225" max="9225" width="0" style="345" hidden="1" customWidth="1"/>
    <col min="9226" max="9226" width="16.33203125" style="345" customWidth="1"/>
    <col min="9227" max="9227" width="11.5" style="345" bestFit="1" customWidth="1"/>
    <col min="9228" max="9229" width="14.33203125" style="345" bestFit="1" customWidth="1"/>
    <col min="9230" max="9230" width="12.6640625" style="345" customWidth="1"/>
    <col min="9231" max="9472" width="9.1640625" style="345"/>
    <col min="9473" max="9473" width="24.83203125" style="345" customWidth="1"/>
    <col min="9474" max="9474" width="12.83203125" style="345" bestFit="1" customWidth="1"/>
    <col min="9475" max="9475" width="14.1640625" style="345" customWidth="1"/>
    <col min="9476" max="9478" width="15.5" style="345" customWidth="1"/>
    <col min="9479" max="9479" width="17.5" style="345" bestFit="1" customWidth="1"/>
    <col min="9480" max="9480" width="16.5" style="345" customWidth="1"/>
    <col min="9481" max="9481" width="0" style="345" hidden="1" customWidth="1"/>
    <col min="9482" max="9482" width="16.33203125" style="345" customWidth="1"/>
    <col min="9483" max="9483" width="11.5" style="345" bestFit="1" customWidth="1"/>
    <col min="9484" max="9485" width="14.33203125" style="345" bestFit="1" customWidth="1"/>
    <col min="9486" max="9486" width="12.6640625" style="345" customWidth="1"/>
    <col min="9487" max="9728" width="9.1640625" style="345"/>
    <col min="9729" max="9729" width="24.83203125" style="345" customWidth="1"/>
    <col min="9730" max="9730" width="12.83203125" style="345" bestFit="1" customWidth="1"/>
    <col min="9731" max="9731" width="14.1640625" style="345" customWidth="1"/>
    <col min="9732" max="9734" width="15.5" style="345" customWidth="1"/>
    <col min="9735" max="9735" width="17.5" style="345" bestFit="1" customWidth="1"/>
    <col min="9736" max="9736" width="16.5" style="345" customWidth="1"/>
    <col min="9737" max="9737" width="0" style="345" hidden="1" customWidth="1"/>
    <col min="9738" max="9738" width="16.33203125" style="345" customWidth="1"/>
    <col min="9739" max="9739" width="11.5" style="345" bestFit="1" customWidth="1"/>
    <col min="9740" max="9741" width="14.33203125" style="345" bestFit="1" customWidth="1"/>
    <col min="9742" max="9742" width="12.6640625" style="345" customWidth="1"/>
    <col min="9743" max="9984" width="9.1640625" style="345"/>
    <col min="9985" max="9985" width="24.83203125" style="345" customWidth="1"/>
    <col min="9986" max="9986" width="12.83203125" style="345" bestFit="1" customWidth="1"/>
    <col min="9987" max="9987" width="14.1640625" style="345" customWidth="1"/>
    <col min="9988" max="9990" width="15.5" style="345" customWidth="1"/>
    <col min="9991" max="9991" width="17.5" style="345" bestFit="1" customWidth="1"/>
    <col min="9992" max="9992" width="16.5" style="345" customWidth="1"/>
    <col min="9993" max="9993" width="0" style="345" hidden="1" customWidth="1"/>
    <col min="9994" max="9994" width="16.33203125" style="345" customWidth="1"/>
    <col min="9995" max="9995" width="11.5" style="345" bestFit="1" customWidth="1"/>
    <col min="9996" max="9997" width="14.33203125" style="345" bestFit="1" customWidth="1"/>
    <col min="9998" max="9998" width="12.6640625" style="345" customWidth="1"/>
    <col min="9999" max="10240" width="9.1640625" style="345"/>
    <col min="10241" max="10241" width="24.83203125" style="345" customWidth="1"/>
    <col min="10242" max="10242" width="12.83203125" style="345" bestFit="1" customWidth="1"/>
    <col min="10243" max="10243" width="14.1640625" style="345" customWidth="1"/>
    <col min="10244" max="10246" width="15.5" style="345" customWidth="1"/>
    <col min="10247" max="10247" width="17.5" style="345" bestFit="1" customWidth="1"/>
    <col min="10248" max="10248" width="16.5" style="345" customWidth="1"/>
    <col min="10249" max="10249" width="0" style="345" hidden="1" customWidth="1"/>
    <col min="10250" max="10250" width="16.33203125" style="345" customWidth="1"/>
    <col min="10251" max="10251" width="11.5" style="345" bestFit="1" customWidth="1"/>
    <col min="10252" max="10253" width="14.33203125" style="345" bestFit="1" customWidth="1"/>
    <col min="10254" max="10254" width="12.6640625" style="345" customWidth="1"/>
    <col min="10255" max="10496" width="9.1640625" style="345"/>
    <col min="10497" max="10497" width="24.83203125" style="345" customWidth="1"/>
    <col min="10498" max="10498" width="12.83203125" style="345" bestFit="1" customWidth="1"/>
    <col min="10499" max="10499" width="14.1640625" style="345" customWidth="1"/>
    <col min="10500" max="10502" width="15.5" style="345" customWidth="1"/>
    <col min="10503" max="10503" width="17.5" style="345" bestFit="1" customWidth="1"/>
    <col min="10504" max="10504" width="16.5" style="345" customWidth="1"/>
    <col min="10505" max="10505" width="0" style="345" hidden="1" customWidth="1"/>
    <col min="10506" max="10506" width="16.33203125" style="345" customWidth="1"/>
    <col min="10507" max="10507" width="11.5" style="345" bestFit="1" customWidth="1"/>
    <col min="10508" max="10509" width="14.33203125" style="345" bestFit="1" customWidth="1"/>
    <col min="10510" max="10510" width="12.6640625" style="345" customWidth="1"/>
    <col min="10511" max="10752" width="9.1640625" style="345"/>
    <col min="10753" max="10753" width="24.83203125" style="345" customWidth="1"/>
    <col min="10754" max="10754" width="12.83203125" style="345" bestFit="1" customWidth="1"/>
    <col min="10755" max="10755" width="14.1640625" style="345" customWidth="1"/>
    <col min="10756" max="10758" width="15.5" style="345" customWidth="1"/>
    <col min="10759" max="10759" width="17.5" style="345" bestFit="1" customWidth="1"/>
    <col min="10760" max="10760" width="16.5" style="345" customWidth="1"/>
    <col min="10761" max="10761" width="0" style="345" hidden="1" customWidth="1"/>
    <col min="10762" max="10762" width="16.33203125" style="345" customWidth="1"/>
    <col min="10763" max="10763" width="11.5" style="345" bestFit="1" customWidth="1"/>
    <col min="10764" max="10765" width="14.33203125" style="345" bestFit="1" customWidth="1"/>
    <col min="10766" max="10766" width="12.6640625" style="345" customWidth="1"/>
    <col min="10767" max="11008" width="9.1640625" style="345"/>
    <col min="11009" max="11009" width="24.83203125" style="345" customWidth="1"/>
    <col min="11010" max="11010" width="12.83203125" style="345" bestFit="1" customWidth="1"/>
    <col min="11011" max="11011" width="14.1640625" style="345" customWidth="1"/>
    <col min="11012" max="11014" width="15.5" style="345" customWidth="1"/>
    <col min="11015" max="11015" width="17.5" style="345" bestFit="1" customWidth="1"/>
    <col min="11016" max="11016" width="16.5" style="345" customWidth="1"/>
    <col min="11017" max="11017" width="0" style="345" hidden="1" customWidth="1"/>
    <col min="11018" max="11018" width="16.33203125" style="345" customWidth="1"/>
    <col min="11019" max="11019" width="11.5" style="345" bestFit="1" customWidth="1"/>
    <col min="11020" max="11021" width="14.33203125" style="345" bestFit="1" customWidth="1"/>
    <col min="11022" max="11022" width="12.6640625" style="345" customWidth="1"/>
    <col min="11023" max="11264" width="9.1640625" style="345"/>
    <col min="11265" max="11265" width="24.83203125" style="345" customWidth="1"/>
    <col min="11266" max="11266" width="12.83203125" style="345" bestFit="1" customWidth="1"/>
    <col min="11267" max="11267" width="14.1640625" style="345" customWidth="1"/>
    <col min="11268" max="11270" width="15.5" style="345" customWidth="1"/>
    <col min="11271" max="11271" width="17.5" style="345" bestFit="1" customWidth="1"/>
    <col min="11272" max="11272" width="16.5" style="345" customWidth="1"/>
    <col min="11273" max="11273" width="0" style="345" hidden="1" customWidth="1"/>
    <col min="11274" max="11274" width="16.33203125" style="345" customWidth="1"/>
    <col min="11275" max="11275" width="11.5" style="345" bestFit="1" customWidth="1"/>
    <col min="11276" max="11277" width="14.33203125" style="345" bestFit="1" customWidth="1"/>
    <col min="11278" max="11278" width="12.6640625" style="345" customWidth="1"/>
    <col min="11279" max="11520" width="9.1640625" style="345"/>
    <col min="11521" max="11521" width="24.83203125" style="345" customWidth="1"/>
    <col min="11522" max="11522" width="12.83203125" style="345" bestFit="1" customWidth="1"/>
    <col min="11523" max="11523" width="14.1640625" style="345" customWidth="1"/>
    <col min="11524" max="11526" width="15.5" style="345" customWidth="1"/>
    <col min="11527" max="11527" width="17.5" style="345" bestFit="1" customWidth="1"/>
    <col min="11528" max="11528" width="16.5" style="345" customWidth="1"/>
    <col min="11529" max="11529" width="0" style="345" hidden="1" customWidth="1"/>
    <col min="11530" max="11530" width="16.33203125" style="345" customWidth="1"/>
    <col min="11531" max="11531" width="11.5" style="345" bestFit="1" customWidth="1"/>
    <col min="11532" max="11533" width="14.33203125" style="345" bestFit="1" customWidth="1"/>
    <col min="11534" max="11534" width="12.6640625" style="345" customWidth="1"/>
    <col min="11535" max="11776" width="9.1640625" style="345"/>
    <col min="11777" max="11777" width="24.83203125" style="345" customWidth="1"/>
    <col min="11778" max="11778" width="12.83203125" style="345" bestFit="1" customWidth="1"/>
    <col min="11779" max="11779" width="14.1640625" style="345" customWidth="1"/>
    <col min="11780" max="11782" width="15.5" style="345" customWidth="1"/>
    <col min="11783" max="11783" width="17.5" style="345" bestFit="1" customWidth="1"/>
    <col min="11784" max="11784" width="16.5" style="345" customWidth="1"/>
    <col min="11785" max="11785" width="0" style="345" hidden="1" customWidth="1"/>
    <col min="11786" max="11786" width="16.33203125" style="345" customWidth="1"/>
    <col min="11787" max="11787" width="11.5" style="345" bestFit="1" customWidth="1"/>
    <col min="11788" max="11789" width="14.33203125" style="345" bestFit="1" customWidth="1"/>
    <col min="11790" max="11790" width="12.6640625" style="345" customWidth="1"/>
    <col min="11791" max="12032" width="9.1640625" style="345"/>
    <col min="12033" max="12033" width="24.83203125" style="345" customWidth="1"/>
    <col min="12034" max="12034" width="12.83203125" style="345" bestFit="1" customWidth="1"/>
    <col min="12035" max="12035" width="14.1640625" style="345" customWidth="1"/>
    <col min="12036" max="12038" width="15.5" style="345" customWidth="1"/>
    <col min="12039" max="12039" width="17.5" style="345" bestFit="1" customWidth="1"/>
    <col min="12040" max="12040" width="16.5" style="345" customWidth="1"/>
    <col min="12041" max="12041" width="0" style="345" hidden="1" customWidth="1"/>
    <col min="12042" max="12042" width="16.33203125" style="345" customWidth="1"/>
    <col min="12043" max="12043" width="11.5" style="345" bestFit="1" customWidth="1"/>
    <col min="12044" max="12045" width="14.33203125" style="345" bestFit="1" customWidth="1"/>
    <col min="12046" max="12046" width="12.6640625" style="345" customWidth="1"/>
    <col min="12047" max="12288" width="9.1640625" style="345"/>
    <col min="12289" max="12289" width="24.83203125" style="345" customWidth="1"/>
    <col min="12290" max="12290" width="12.83203125" style="345" bestFit="1" customWidth="1"/>
    <col min="12291" max="12291" width="14.1640625" style="345" customWidth="1"/>
    <col min="12292" max="12294" width="15.5" style="345" customWidth="1"/>
    <col min="12295" max="12295" width="17.5" style="345" bestFit="1" customWidth="1"/>
    <col min="12296" max="12296" width="16.5" style="345" customWidth="1"/>
    <col min="12297" max="12297" width="0" style="345" hidden="1" customWidth="1"/>
    <col min="12298" max="12298" width="16.33203125" style="345" customWidth="1"/>
    <col min="12299" max="12299" width="11.5" style="345" bestFit="1" customWidth="1"/>
    <col min="12300" max="12301" width="14.33203125" style="345" bestFit="1" customWidth="1"/>
    <col min="12302" max="12302" width="12.6640625" style="345" customWidth="1"/>
    <col min="12303" max="12544" width="9.1640625" style="345"/>
    <col min="12545" max="12545" width="24.83203125" style="345" customWidth="1"/>
    <col min="12546" max="12546" width="12.83203125" style="345" bestFit="1" customWidth="1"/>
    <col min="12547" max="12547" width="14.1640625" style="345" customWidth="1"/>
    <col min="12548" max="12550" width="15.5" style="345" customWidth="1"/>
    <col min="12551" max="12551" width="17.5" style="345" bestFit="1" customWidth="1"/>
    <col min="12552" max="12552" width="16.5" style="345" customWidth="1"/>
    <col min="12553" max="12553" width="0" style="345" hidden="1" customWidth="1"/>
    <col min="12554" max="12554" width="16.33203125" style="345" customWidth="1"/>
    <col min="12555" max="12555" width="11.5" style="345" bestFit="1" customWidth="1"/>
    <col min="12556" max="12557" width="14.33203125" style="345" bestFit="1" customWidth="1"/>
    <col min="12558" max="12558" width="12.6640625" style="345" customWidth="1"/>
    <col min="12559" max="12800" width="9.1640625" style="345"/>
    <col min="12801" max="12801" width="24.83203125" style="345" customWidth="1"/>
    <col min="12802" max="12802" width="12.83203125" style="345" bestFit="1" customWidth="1"/>
    <col min="12803" max="12803" width="14.1640625" style="345" customWidth="1"/>
    <col min="12804" max="12806" width="15.5" style="345" customWidth="1"/>
    <col min="12807" max="12807" width="17.5" style="345" bestFit="1" customWidth="1"/>
    <col min="12808" max="12808" width="16.5" style="345" customWidth="1"/>
    <col min="12809" max="12809" width="0" style="345" hidden="1" customWidth="1"/>
    <col min="12810" max="12810" width="16.33203125" style="345" customWidth="1"/>
    <col min="12811" max="12811" width="11.5" style="345" bestFit="1" customWidth="1"/>
    <col min="12812" max="12813" width="14.33203125" style="345" bestFit="1" customWidth="1"/>
    <col min="12814" max="12814" width="12.6640625" style="345" customWidth="1"/>
    <col min="12815" max="13056" width="9.1640625" style="345"/>
    <col min="13057" max="13057" width="24.83203125" style="345" customWidth="1"/>
    <col min="13058" max="13058" width="12.83203125" style="345" bestFit="1" customWidth="1"/>
    <col min="13059" max="13059" width="14.1640625" style="345" customWidth="1"/>
    <col min="13060" max="13062" width="15.5" style="345" customWidth="1"/>
    <col min="13063" max="13063" width="17.5" style="345" bestFit="1" customWidth="1"/>
    <col min="13064" max="13064" width="16.5" style="345" customWidth="1"/>
    <col min="13065" max="13065" width="0" style="345" hidden="1" customWidth="1"/>
    <col min="13066" max="13066" width="16.33203125" style="345" customWidth="1"/>
    <col min="13067" max="13067" width="11.5" style="345" bestFit="1" customWidth="1"/>
    <col min="13068" max="13069" width="14.33203125" style="345" bestFit="1" customWidth="1"/>
    <col min="13070" max="13070" width="12.6640625" style="345" customWidth="1"/>
    <col min="13071" max="13312" width="9.1640625" style="345"/>
    <col min="13313" max="13313" width="24.83203125" style="345" customWidth="1"/>
    <col min="13314" max="13314" width="12.83203125" style="345" bestFit="1" customWidth="1"/>
    <col min="13315" max="13315" width="14.1640625" style="345" customWidth="1"/>
    <col min="13316" max="13318" width="15.5" style="345" customWidth="1"/>
    <col min="13319" max="13319" width="17.5" style="345" bestFit="1" customWidth="1"/>
    <col min="13320" max="13320" width="16.5" style="345" customWidth="1"/>
    <col min="13321" max="13321" width="0" style="345" hidden="1" customWidth="1"/>
    <col min="13322" max="13322" width="16.33203125" style="345" customWidth="1"/>
    <col min="13323" max="13323" width="11.5" style="345" bestFit="1" customWidth="1"/>
    <col min="13324" max="13325" width="14.33203125" style="345" bestFit="1" customWidth="1"/>
    <col min="13326" max="13326" width="12.6640625" style="345" customWidth="1"/>
    <col min="13327" max="13568" width="9.1640625" style="345"/>
    <col min="13569" max="13569" width="24.83203125" style="345" customWidth="1"/>
    <col min="13570" max="13570" width="12.83203125" style="345" bestFit="1" customWidth="1"/>
    <col min="13571" max="13571" width="14.1640625" style="345" customWidth="1"/>
    <col min="13572" max="13574" width="15.5" style="345" customWidth="1"/>
    <col min="13575" max="13575" width="17.5" style="345" bestFit="1" customWidth="1"/>
    <col min="13576" max="13576" width="16.5" style="345" customWidth="1"/>
    <col min="13577" max="13577" width="0" style="345" hidden="1" customWidth="1"/>
    <col min="13578" max="13578" width="16.33203125" style="345" customWidth="1"/>
    <col min="13579" max="13579" width="11.5" style="345" bestFit="1" customWidth="1"/>
    <col min="13580" max="13581" width="14.33203125" style="345" bestFit="1" customWidth="1"/>
    <col min="13582" max="13582" width="12.6640625" style="345" customWidth="1"/>
    <col min="13583" max="13824" width="9.1640625" style="345"/>
    <col min="13825" max="13825" width="24.83203125" style="345" customWidth="1"/>
    <col min="13826" max="13826" width="12.83203125" style="345" bestFit="1" customWidth="1"/>
    <col min="13827" max="13827" width="14.1640625" style="345" customWidth="1"/>
    <col min="13828" max="13830" width="15.5" style="345" customWidth="1"/>
    <col min="13831" max="13831" width="17.5" style="345" bestFit="1" customWidth="1"/>
    <col min="13832" max="13832" width="16.5" style="345" customWidth="1"/>
    <col min="13833" max="13833" width="0" style="345" hidden="1" customWidth="1"/>
    <col min="13834" max="13834" width="16.33203125" style="345" customWidth="1"/>
    <col min="13835" max="13835" width="11.5" style="345" bestFit="1" customWidth="1"/>
    <col min="13836" max="13837" width="14.33203125" style="345" bestFit="1" customWidth="1"/>
    <col min="13838" max="13838" width="12.6640625" style="345" customWidth="1"/>
    <col min="13839" max="14080" width="9.1640625" style="345"/>
    <col min="14081" max="14081" width="24.83203125" style="345" customWidth="1"/>
    <col min="14082" max="14082" width="12.83203125" style="345" bestFit="1" customWidth="1"/>
    <col min="14083" max="14083" width="14.1640625" style="345" customWidth="1"/>
    <col min="14084" max="14086" width="15.5" style="345" customWidth="1"/>
    <col min="14087" max="14087" width="17.5" style="345" bestFit="1" customWidth="1"/>
    <col min="14088" max="14088" width="16.5" style="345" customWidth="1"/>
    <col min="14089" max="14089" width="0" style="345" hidden="1" customWidth="1"/>
    <col min="14090" max="14090" width="16.33203125" style="345" customWidth="1"/>
    <col min="14091" max="14091" width="11.5" style="345" bestFit="1" customWidth="1"/>
    <col min="14092" max="14093" width="14.33203125" style="345" bestFit="1" customWidth="1"/>
    <col min="14094" max="14094" width="12.6640625" style="345" customWidth="1"/>
    <col min="14095" max="14336" width="9.1640625" style="345"/>
    <col min="14337" max="14337" width="24.83203125" style="345" customWidth="1"/>
    <col min="14338" max="14338" width="12.83203125" style="345" bestFit="1" customWidth="1"/>
    <col min="14339" max="14339" width="14.1640625" style="345" customWidth="1"/>
    <col min="14340" max="14342" width="15.5" style="345" customWidth="1"/>
    <col min="14343" max="14343" width="17.5" style="345" bestFit="1" customWidth="1"/>
    <col min="14344" max="14344" width="16.5" style="345" customWidth="1"/>
    <col min="14345" max="14345" width="0" style="345" hidden="1" customWidth="1"/>
    <col min="14346" max="14346" width="16.33203125" style="345" customWidth="1"/>
    <col min="14347" max="14347" width="11.5" style="345" bestFit="1" customWidth="1"/>
    <col min="14348" max="14349" width="14.33203125" style="345" bestFit="1" customWidth="1"/>
    <col min="14350" max="14350" width="12.6640625" style="345" customWidth="1"/>
    <col min="14351" max="14592" width="9.1640625" style="345"/>
    <col min="14593" max="14593" width="24.83203125" style="345" customWidth="1"/>
    <col min="14594" max="14594" width="12.83203125" style="345" bestFit="1" customWidth="1"/>
    <col min="14595" max="14595" width="14.1640625" style="345" customWidth="1"/>
    <col min="14596" max="14598" width="15.5" style="345" customWidth="1"/>
    <col min="14599" max="14599" width="17.5" style="345" bestFit="1" customWidth="1"/>
    <col min="14600" max="14600" width="16.5" style="345" customWidth="1"/>
    <col min="14601" max="14601" width="0" style="345" hidden="1" customWidth="1"/>
    <col min="14602" max="14602" width="16.33203125" style="345" customWidth="1"/>
    <col min="14603" max="14603" width="11.5" style="345" bestFit="1" customWidth="1"/>
    <col min="14604" max="14605" width="14.33203125" style="345" bestFit="1" customWidth="1"/>
    <col min="14606" max="14606" width="12.6640625" style="345" customWidth="1"/>
    <col min="14607" max="14848" width="9.1640625" style="345"/>
    <col min="14849" max="14849" width="24.83203125" style="345" customWidth="1"/>
    <col min="14850" max="14850" width="12.83203125" style="345" bestFit="1" customWidth="1"/>
    <col min="14851" max="14851" width="14.1640625" style="345" customWidth="1"/>
    <col min="14852" max="14854" width="15.5" style="345" customWidth="1"/>
    <col min="14855" max="14855" width="17.5" style="345" bestFit="1" customWidth="1"/>
    <col min="14856" max="14856" width="16.5" style="345" customWidth="1"/>
    <col min="14857" max="14857" width="0" style="345" hidden="1" customWidth="1"/>
    <col min="14858" max="14858" width="16.33203125" style="345" customWidth="1"/>
    <col min="14859" max="14859" width="11.5" style="345" bestFit="1" customWidth="1"/>
    <col min="14860" max="14861" width="14.33203125" style="345" bestFit="1" customWidth="1"/>
    <col min="14862" max="14862" width="12.6640625" style="345" customWidth="1"/>
    <col min="14863" max="15104" width="9.1640625" style="345"/>
    <col min="15105" max="15105" width="24.83203125" style="345" customWidth="1"/>
    <col min="15106" max="15106" width="12.83203125" style="345" bestFit="1" customWidth="1"/>
    <col min="15107" max="15107" width="14.1640625" style="345" customWidth="1"/>
    <col min="15108" max="15110" width="15.5" style="345" customWidth="1"/>
    <col min="15111" max="15111" width="17.5" style="345" bestFit="1" customWidth="1"/>
    <col min="15112" max="15112" width="16.5" style="345" customWidth="1"/>
    <col min="15113" max="15113" width="0" style="345" hidden="1" customWidth="1"/>
    <col min="15114" max="15114" width="16.33203125" style="345" customWidth="1"/>
    <col min="15115" max="15115" width="11.5" style="345" bestFit="1" customWidth="1"/>
    <col min="15116" max="15117" width="14.33203125" style="345" bestFit="1" customWidth="1"/>
    <col min="15118" max="15118" width="12.6640625" style="345" customWidth="1"/>
    <col min="15119" max="15360" width="9.1640625" style="345"/>
    <col min="15361" max="15361" width="24.83203125" style="345" customWidth="1"/>
    <col min="15362" max="15362" width="12.83203125" style="345" bestFit="1" customWidth="1"/>
    <col min="15363" max="15363" width="14.1640625" style="345" customWidth="1"/>
    <col min="15364" max="15366" width="15.5" style="345" customWidth="1"/>
    <col min="15367" max="15367" width="17.5" style="345" bestFit="1" customWidth="1"/>
    <col min="15368" max="15368" width="16.5" style="345" customWidth="1"/>
    <col min="15369" max="15369" width="0" style="345" hidden="1" customWidth="1"/>
    <col min="15370" max="15370" width="16.33203125" style="345" customWidth="1"/>
    <col min="15371" max="15371" width="11.5" style="345" bestFit="1" customWidth="1"/>
    <col min="15372" max="15373" width="14.33203125" style="345" bestFit="1" customWidth="1"/>
    <col min="15374" max="15374" width="12.6640625" style="345" customWidth="1"/>
    <col min="15375" max="15616" width="9.1640625" style="345"/>
    <col min="15617" max="15617" width="24.83203125" style="345" customWidth="1"/>
    <col min="15618" max="15618" width="12.83203125" style="345" bestFit="1" customWidth="1"/>
    <col min="15619" max="15619" width="14.1640625" style="345" customWidth="1"/>
    <col min="15620" max="15622" width="15.5" style="345" customWidth="1"/>
    <col min="15623" max="15623" width="17.5" style="345" bestFit="1" customWidth="1"/>
    <col min="15624" max="15624" width="16.5" style="345" customWidth="1"/>
    <col min="15625" max="15625" width="0" style="345" hidden="1" customWidth="1"/>
    <col min="15626" max="15626" width="16.33203125" style="345" customWidth="1"/>
    <col min="15627" max="15627" width="11.5" style="345" bestFit="1" customWidth="1"/>
    <col min="15628" max="15629" width="14.33203125" style="345" bestFit="1" customWidth="1"/>
    <col min="15630" max="15630" width="12.6640625" style="345" customWidth="1"/>
    <col min="15631" max="15872" width="9.1640625" style="345"/>
    <col min="15873" max="15873" width="24.83203125" style="345" customWidth="1"/>
    <col min="15874" max="15874" width="12.83203125" style="345" bestFit="1" customWidth="1"/>
    <col min="15875" max="15875" width="14.1640625" style="345" customWidth="1"/>
    <col min="15876" max="15878" width="15.5" style="345" customWidth="1"/>
    <col min="15879" max="15879" width="17.5" style="345" bestFit="1" customWidth="1"/>
    <col min="15880" max="15880" width="16.5" style="345" customWidth="1"/>
    <col min="15881" max="15881" width="0" style="345" hidden="1" customWidth="1"/>
    <col min="15882" max="15882" width="16.33203125" style="345" customWidth="1"/>
    <col min="15883" max="15883" width="11.5" style="345" bestFit="1" customWidth="1"/>
    <col min="15884" max="15885" width="14.33203125" style="345" bestFit="1" customWidth="1"/>
    <col min="15886" max="15886" width="12.6640625" style="345" customWidth="1"/>
    <col min="15887" max="16128" width="9.1640625" style="345"/>
    <col min="16129" max="16129" width="24.83203125" style="345" customWidth="1"/>
    <col min="16130" max="16130" width="12.83203125" style="345" bestFit="1" customWidth="1"/>
    <col min="16131" max="16131" width="14.1640625" style="345" customWidth="1"/>
    <col min="16132" max="16134" width="15.5" style="345" customWidth="1"/>
    <col min="16135" max="16135" width="17.5" style="345" bestFit="1" customWidth="1"/>
    <col min="16136" max="16136" width="16.5" style="345" customWidth="1"/>
    <col min="16137" max="16137" width="0" style="345" hidden="1" customWidth="1"/>
    <col min="16138" max="16138" width="16.33203125" style="345" customWidth="1"/>
    <col min="16139" max="16139" width="11.5" style="345" bestFit="1" customWidth="1"/>
    <col min="16140" max="16141" width="14.33203125" style="345" bestFit="1" customWidth="1"/>
    <col min="16142" max="16142" width="12.6640625" style="345" customWidth="1"/>
    <col min="16143" max="16384" width="9.1640625" style="345"/>
  </cols>
  <sheetData>
    <row r="1" spans="1:14">
      <c r="A1" s="344" t="s">
        <v>808</v>
      </c>
    </row>
    <row r="2" spans="1:14">
      <c r="J2" s="350"/>
      <c r="K2" s="350"/>
      <c r="L2" s="351"/>
      <c r="M2" s="351"/>
    </row>
    <row r="3" spans="1:14" s="353" customFormat="1" ht="21.75" customHeight="1">
      <c r="A3" s="510"/>
      <c r="B3" s="510"/>
      <c r="C3" s="510" t="s">
        <v>276</v>
      </c>
      <c r="D3" s="510" t="s">
        <v>277</v>
      </c>
      <c r="E3" s="510" t="s">
        <v>278</v>
      </c>
      <c r="F3" s="510" t="s">
        <v>279</v>
      </c>
      <c r="G3" s="510" t="s">
        <v>809</v>
      </c>
      <c r="H3" s="512" t="s">
        <v>810</v>
      </c>
      <c r="I3" s="513"/>
      <c r="J3" s="514" t="s">
        <v>280</v>
      </c>
      <c r="K3" s="510"/>
      <c r="L3" s="510"/>
      <c r="M3" s="352" t="s">
        <v>811</v>
      </c>
      <c r="N3" s="352" t="s">
        <v>812</v>
      </c>
    </row>
    <row r="4" spans="1:14">
      <c r="A4" s="511"/>
      <c r="B4" s="511"/>
      <c r="C4" s="511"/>
      <c r="D4" s="511"/>
      <c r="E4" s="511"/>
      <c r="F4" s="511"/>
      <c r="G4" s="511"/>
      <c r="H4" s="354"/>
      <c r="I4" s="355" t="s">
        <v>281</v>
      </c>
      <c r="J4" s="354"/>
      <c r="K4" s="356" t="s">
        <v>282</v>
      </c>
      <c r="L4" s="357" t="s">
        <v>281</v>
      </c>
      <c r="M4" s="357" t="s">
        <v>281</v>
      </c>
      <c r="N4" s="357" t="s">
        <v>281</v>
      </c>
    </row>
    <row r="5" spans="1:14">
      <c r="A5" s="358" t="s">
        <v>283</v>
      </c>
      <c r="B5" s="358" t="s">
        <v>284</v>
      </c>
      <c r="C5" s="359">
        <v>1.42</v>
      </c>
      <c r="D5" s="359">
        <v>0.6</v>
      </c>
      <c r="E5" s="359">
        <v>0.35</v>
      </c>
      <c r="F5" s="359">
        <v>0.25</v>
      </c>
      <c r="G5" s="359">
        <v>0.2</v>
      </c>
      <c r="H5" s="360">
        <v>0.2</v>
      </c>
      <c r="I5" s="361">
        <v>0.25</v>
      </c>
      <c r="J5" s="359">
        <v>0.25</v>
      </c>
      <c r="K5" s="362">
        <v>0.15</v>
      </c>
      <c r="L5" s="363">
        <v>0.25</v>
      </c>
      <c r="M5" s="363">
        <v>0.25</v>
      </c>
      <c r="N5" s="363">
        <v>0.2</v>
      </c>
    </row>
    <row r="6" spans="1:14">
      <c r="A6" s="358" t="s">
        <v>285</v>
      </c>
      <c r="B6" s="358" t="s">
        <v>284</v>
      </c>
      <c r="C6" s="359">
        <v>1.7</v>
      </c>
      <c r="D6" s="364">
        <v>1</v>
      </c>
      <c r="E6" s="359">
        <v>0.6</v>
      </c>
      <c r="F6" s="359">
        <v>0.45</v>
      </c>
      <c r="G6" s="359">
        <v>0.35</v>
      </c>
      <c r="H6" s="359">
        <v>0.35</v>
      </c>
      <c r="I6" s="365">
        <v>0.3</v>
      </c>
      <c r="J6" s="360">
        <v>0.35</v>
      </c>
      <c r="K6" s="366">
        <v>0.23</v>
      </c>
      <c r="L6" s="367">
        <v>0.7</v>
      </c>
      <c r="M6" s="367">
        <v>0.35</v>
      </c>
      <c r="N6" s="367">
        <v>0.3</v>
      </c>
    </row>
    <row r="7" spans="1:14">
      <c r="A7" s="358" t="s">
        <v>286</v>
      </c>
      <c r="B7" s="358" t="s">
        <v>284</v>
      </c>
      <c r="C7" s="362" t="s">
        <v>287</v>
      </c>
      <c r="D7" s="362" t="s">
        <v>287</v>
      </c>
      <c r="E7" s="362" t="s">
        <v>287</v>
      </c>
      <c r="F7" s="359">
        <v>0.45</v>
      </c>
      <c r="G7" s="359">
        <v>0.25</v>
      </c>
      <c r="H7" s="359">
        <v>0.25</v>
      </c>
      <c r="I7" s="365">
        <v>0.25</v>
      </c>
      <c r="J7" s="360">
        <v>0.25</v>
      </c>
      <c r="K7" s="366">
        <v>0.2</v>
      </c>
      <c r="L7" s="367">
        <v>0.25</v>
      </c>
      <c r="M7" s="367">
        <v>0.25</v>
      </c>
      <c r="N7" s="367">
        <v>0.25</v>
      </c>
    </row>
    <row r="8" spans="1:14">
      <c r="A8" s="358" t="s">
        <v>288</v>
      </c>
      <c r="B8" s="358"/>
      <c r="C8" s="362" t="s">
        <v>287</v>
      </c>
      <c r="D8" s="362" t="s">
        <v>287</v>
      </c>
      <c r="E8" s="362" t="s">
        <v>287</v>
      </c>
      <c r="F8" s="362" t="s">
        <v>287</v>
      </c>
      <c r="G8" s="359">
        <v>2.2000000000000002</v>
      </c>
      <c r="H8" s="359">
        <v>2.2000000000000002</v>
      </c>
      <c r="I8" s="365">
        <v>2</v>
      </c>
      <c r="J8" s="360">
        <v>2.2000000000000002</v>
      </c>
      <c r="K8" s="366">
        <v>1.5</v>
      </c>
      <c r="L8" s="367">
        <v>2.2000000000000002</v>
      </c>
      <c r="M8" s="367">
        <v>2.2000000000000002</v>
      </c>
      <c r="N8" s="367">
        <v>2</v>
      </c>
    </row>
    <row r="9" spans="1:14">
      <c r="A9" s="358" t="s">
        <v>289</v>
      </c>
      <c r="B9" s="358"/>
      <c r="C9" s="362"/>
      <c r="D9" s="362"/>
      <c r="E9" s="362"/>
      <c r="F9" s="362"/>
      <c r="G9" s="359"/>
      <c r="H9" s="359">
        <v>1.6</v>
      </c>
      <c r="I9" s="365"/>
      <c r="J9" s="359">
        <v>1.6</v>
      </c>
      <c r="K9" s="362"/>
      <c r="L9" s="363"/>
      <c r="M9" s="363"/>
      <c r="N9" s="363"/>
    </row>
    <row r="10" spans="1:14">
      <c r="A10" s="358" t="s">
        <v>813</v>
      </c>
      <c r="B10" s="358"/>
      <c r="C10" s="362"/>
      <c r="D10" s="362"/>
      <c r="E10" s="362"/>
      <c r="F10" s="362"/>
      <c r="G10" s="359"/>
      <c r="H10" s="359">
        <v>1.5</v>
      </c>
      <c r="I10" s="365"/>
      <c r="J10" s="359">
        <v>1.5</v>
      </c>
      <c r="K10" s="362"/>
      <c r="L10" s="363">
        <v>1.5</v>
      </c>
      <c r="M10" s="363">
        <v>1.5</v>
      </c>
      <c r="N10" s="363">
        <v>1.5</v>
      </c>
    </row>
    <row r="11" spans="1:14">
      <c r="A11" s="358" t="s">
        <v>814</v>
      </c>
      <c r="B11" s="358"/>
      <c r="C11" s="362"/>
      <c r="D11" s="362"/>
      <c r="E11" s="362"/>
      <c r="F11" s="362"/>
      <c r="G11" s="359"/>
      <c r="H11" s="359"/>
      <c r="I11" s="365"/>
      <c r="J11" s="359">
        <v>3.5</v>
      </c>
      <c r="K11" s="362"/>
      <c r="L11" s="363">
        <v>3.5</v>
      </c>
      <c r="M11" s="363">
        <v>3.5</v>
      </c>
      <c r="N11" s="363">
        <v>3.5</v>
      </c>
    </row>
    <row r="12" spans="1:14">
      <c r="A12" s="358" t="s">
        <v>815</v>
      </c>
      <c r="B12" s="358"/>
      <c r="C12" s="362"/>
      <c r="D12" s="362"/>
      <c r="E12" s="362"/>
      <c r="F12" s="362"/>
      <c r="G12" s="359"/>
      <c r="H12" s="359"/>
      <c r="I12" s="365"/>
      <c r="J12" s="359">
        <v>0.25</v>
      </c>
      <c r="K12" s="362"/>
      <c r="L12" s="363"/>
      <c r="M12" s="363"/>
      <c r="N12" s="363"/>
    </row>
    <row r="13" spans="1:14" ht="14">
      <c r="A13" s="368" t="s">
        <v>816</v>
      </c>
      <c r="B13" s="368" t="s">
        <v>817</v>
      </c>
      <c r="C13" s="362"/>
      <c r="D13" s="362"/>
      <c r="E13" s="362"/>
      <c r="F13" s="362"/>
      <c r="G13" s="359"/>
      <c r="H13" s="359"/>
      <c r="I13" s="365"/>
      <c r="J13" s="369" t="s">
        <v>818</v>
      </c>
      <c r="K13" s="362"/>
      <c r="L13" s="363"/>
      <c r="M13" s="363"/>
      <c r="N13" s="363"/>
    </row>
    <row r="14" spans="1:14">
      <c r="A14" s="358" t="s">
        <v>819</v>
      </c>
      <c r="B14" s="358" t="s">
        <v>284</v>
      </c>
      <c r="C14" s="358"/>
      <c r="D14" s="359"/>
      <c r="E14" s="359"/>
      <c r="F14" s="359">
        <v>0.6</v>
      </c>
      <c r="G14" s="359"/>
      <c r="H14" s="359"/>
      <c r="I14" s="365"/>
      <c r="J14" s="359"/>
      <c r="K14" s="362"/>
      <c r="L14" s="363"/>
      <c r="M14" s="363"/>
      <c r="N14" s="363"/>
    </row>
    <row r="15" spans="1:14" s="373" customFormat="1">
      <c r="A15" s="370" t="s">
        <v>820</v>
      </c>
      <c r="B15" s="370" t="s">
        <v>821</v>
      </c>
      <c r="C15" s="370"/>
      <c r="D15" s="370"/>
      <c r="E15" s="370"/>
      <c r="F15" s="370"/>
      <c r="G15" s="370"/>
      <c r="H15" s="370">
        <v>10</v>
      </c>
      <c r="I15" s="371">
        <v>10</v>
      </c>
      <c r="J15" s="370">
        <v>10</v>
      </c>
      <c r="K15" s="370">
        <v>5</v>
      </c>
      <c r="L15" s="372">
        <v>10</v>
      </c>
      <c r="M15" s="372">
        <v>10</v>
      </c>
      <c r="N15" s="372">
        <v>10</v>
      </c>
    </row>
    <row r="16" spans="1:14">
      <c r="A16" s="358" t="s">
        <v>822</v>
      </c>
      <c r="B16" s="358" t="s">
        <v>284</v>
      </c>
      <c r="C16" s="358"/>
      <c r="D16" s="374"/>
      <c r="E16" s="374"/>
      <c r="F16" s="374">
        <v>0.15</v>
      </c>
      <c r="G16" s="359"/>
      <c r="H16" s="359"/>
      <c r="I16" s="365"/>
      <c r="J16" s="359"/>
      <c r="K16" s="362"/>
      <c r="L16" s="363"/>
      <c r="M16" s="363"/>
      <c r="N16" s="363"/>
    </row>
    <row r="17" spans="1:14">
      <c r="A17" s="358" t="s">
        <v>823</v>
      </c>
      <c r="B17" s="358" t="s">
        <v>824</v>
      </c>
      <c r="C17" s="358"/>
      <c r="D17" s="359"/>
      <c r="E17" s="359"/>
      <c r="F17" s="359"/>
      <c r="G17" s="359"/>
      <c r="H17" s="374">
        <v>0.4</v>
      </c>
      <c r="I17" s="375"/>
      <c r="J17" s="376">
        <v>0.4</v>
      </c>
      <c r="K17" s="377"/>
      <c r="L17" s="378"/>
      <c r="M17" s="378"/>
      <c r="N17" s="378"/>
    </row>
    <row r="18" spans="1:14">
      <c r="A18" s="358" t="s">
        <v>823</v>
      </c>
      <c r="B18" s="358" t="s">
        <v>825</v>
      </c>
      <c r="C18" s="358"/>
      <c r="D18" s="359"/>
      <c r="E18" s="359"/>
      <c r="F18" s="359"/>
      <c r="G18" s="359"/>
      <c r="H18" s="374">
        <v>0.3</v>
      </c>
      <c r="I18" s="375"/>
      <c r="J18" s="376">
        <v>0.3</v>
      </c>
      <c r="K18" s="377"/>
      <c r="L18" s="378"/>
      <c r="M18" s="378"/>
      <c r="N18" s="378"/>
    </row>
    <row r="19" spans="1:14">
      <c r="A19" s="358" t="s">
        <v>826</v>
      </c>
      <c r="B19" s="358"/>
      <c r="C19" s="358"/>
      <c r="D19" s="374"/>
      <c r="E19" s="374"/>
      <c r="F19" s="374"/>
      <c r="G19" s="359"/>
      <c r="H19" s="374">
        <v>0.2</v>
      </c>
      <c r="I19" s="375"/>
      <c r="J19" s="376">
        <v>0.2</v>
      </c>
      <c r="K19" s="377"/>
      <c r="L19" s="378"/>
      <c r="M19" s="378"/>
      <c r="N19" s="378"/>
    </row>
    <row r="20" spans="1:14">
      <c r="A20" s="358"/>
      <c r="B20" s="358"/>
      <c r="C20" s="358"/>
      <c r="D20" s="374"/>
      <c r="E20" s="374"/>
      <c r="F20" s="374"/>
      <c r="G20" s="359"/>
      <c r="H20" s="359"/>
      <c r="I20" s="365"/>
      <c r="J20" s="379"/>
      <c r="K20" s="362"/>
      <c r="L20" s="363"/>
      <c r="M20" s="363"/>
      <c r="N20" s="363"/>
    </row>
    <row r="21" spans="1:14">
      <c r="A21" s="358" t="s">
        <v>285</v>
      </c>
      <c r="B21" s="358" t="s">
        <v>824</v>
      </c>
      <c r="C21" s="358"/>
      <c r="D21" s="359"/>
      <c r="E21" s="359"/>
      <c r="F21" s="359">
        <v>0.45</v>
      </c>
      <c r="G21" s="359"/>
      <c r="H21" s="359"/>
      <c r="I21" s="365"/>
      <c r="J21" s="379"/>
      <c r="K21" s="362"/>
      <c r="L21" s="363"/>
      <c r="M21" s="363"/>
      <c r="N21" s="363"/>
    </row>
    <row r="22" spans="1:14">
      <c r="A22" s="358" t="s">
        <v>819</v>
      </c>
      <c r="B22" s="358" t="s">
        <v>824</v>
      </c>
      <c r="C22" s="358"/>
      <c r="D22" s="359"/>
      <c r="E22" s="359"/>
      <c r="F22" s="359">
        <v>0.6</v>
      </c>
      <c r="G22" s="359"/>
      <c r="H22" s="359"/>
      <c r="I22" s="365"/>
      <c r="J22" s="379"/>
      <c r="K22" s="362"/>
      <c r="L22" s="363"/>
      <c r="M22" s="363"/>
      <c r="N22" s="363"/>
    </row>
    <row r="23" spans="1:14">
      <c r="A23" s="358" t="s">
        <v>286</v>
      </c>
      <c r="B23" s="358" t="s">
        <v>824</v>
      </c>
      <c r="C23" s="358"/>
      <c r="D23" s="359"/>
      <c r="E23" s="359"/>
      <c r="F23" s="359">
        <v>0.45</v>
      </c>
      <c r="G23" s="359"/>
      <c r="H23" s="359"/>
      <c r="I23" s="365"/>
      <c r="J23" s="379"/>
      <c r="K23" s="362"/>
      <c r="L23" s="363"/>
      <c r="M23" s="363"/>
      <c r="N23" s="363"/>
    </row>
    <row r="24" spans="1:14">
      <c r="A24" s="358" t="s">
        <v>283</v>
      </c>
      <c r="B24" s="358" t="s">
        <v>824</v>
      </c>
      <c r="C24" s="358"/>
      <c r="D24" s="359"/>
      <c r="E24" s="359"/>
      <c r="F24" s="359">
        <v>0.45</v>
      </c>
      <c r="G24" s="359"/>
      <c r="H24" s="359"/>
      <c r="I24" s="365"/>
      <c r="J24" s="379"/>
      <c r="K24" s="362"/>
      <c r="L24" s="363"/>
      <c r="M24" s="363"/>
      <c r="N24" s="363"/>
    </row>
    <row r="25" spans="1:14">
      <c r="A25" s="358" t="s">
        <v>822</v>
      </c>
      <c r="B25" s="358" t="s">
        <v>824</v>
      </c>
      <c r="C25" s="358"/>
      <c r="D25" s="359"/>
      <c r="E25" s="359"/>
      <c r="F25" s="374">
        <v>0.35</v>
      </c>
      <c r="G25" s="359"/>
      <c r="H25" s="359"/>
      <c r="I25" s="365"/>
      <c r="J25" s="379"/>
      <c r="K25" s="362"/>
      <c r="L25" s="363"/>
      <c r="M25" s="363"/>
      <c r="N25" s="363"/>
    </row>
    <row r="26" spans="1:14">
      <c r="A26" s="358"/>
      <c r="B26" s="358"/>
      <c r="C26" s="358"/>
      <c r="D26" s="359"/>
      <c r="E26" s="359"/>
      <c r="F26" s="374"/>
      <c r="G26" s="359"/>
      <c r="H26" s="359"/>
      <c r="I26" s="365"/>
      <c r="J26" s="379"/>
      <c r="K26" s="362"/>
      <c r="L26" s="363"/>
      <c r="M26" s="363"/>
      <c r="N26" s="363"/>
    </row>
    <row r="27" spans="1:14">
      <c r="A27" s="358" t="s">
        <v>827</v>
      </c>
      <c r="B27" s="358" t="s">
        <v>828</v>
      </c>
      <c r="C27" s="358"/>
      <c r="D27" s="359"/>
      <c r="E27" s="359"/>
      <c r="F27" s="374"/>
      <c r="G27" s="359"/>
      <c r="H27" s="380">
        <v>0.80800000000000005</v>
      </c>
      <c r="I27" s="381"/>
      <c r="J27" s="382">
        <v>0.80800000000000005</v>
      </c>
      <c r="K27" s="383"/>
      <c r="L27" s="384"/>
      <c r="M27" s="384"/>
      <c r="N27" s="384"/>
    </row>
    <row r="28" spans="1:14">
      <c r="A28" s="358" t="s">
        <v>829</v>
      </c>
      <c r="B28" s="358" t="s">
        <v>828</v>
      </c>
      <c r="C28" s="358"/>
      <c r="D28" s="359"/>
      <c r="E28" s="359"/>
      <c r="F28" s="374"/>
      <c r="G28" s="359"/>
      <c r="H28" s="385">
        <v>2.25</v>
      </c>
      <c r="I28" s="386"/>
      <c r="J28" s="387">
        <v>2.25</v>
      </c>
      <c r="K28" s="388"/>
      <c r="L28" s="389"/>
      <c r="M28" s="389"/>
      <c r="N28" s="389"/>
    </row>
    <row r="29" spans="1:14">
      <c r="A29" s="358" t="s">
        <v>830</v>
      </c>
      <c r="B29" s="358" t="s">
        <v>831</v>
      </c>
      <c r="C29" s="358"/>
      <c r="D29" s="359"/>
      <c r="E29" s="359"/>
      <c r="F29" s="374"/>
      <c r="G29" s="359"/>
      <c r="H29" s="390">
        <v>0.8</v>
      </c>
      <c r="I29" s="391"/>
      <c r="J29" s="392">
        <v>0.8</v>
      </c>
      <c r="K29" s="393"/>
      <c r="L29" s="394"/>
      <c r="M29" s="394"/>
      <c r="N29" s="394"/>
    </row>
    <row r="30" spans="1:14">
      <c r="A30" s="358" t="s">
        <v>830</v>
      </c>
      <c r="B30" s="358" t="s">
        <v>832</v>
      </c>
      <c r="C30" s="358"/>
      <c r="D30" s="359"/>
      <c r="E30" s="359"/>
      <c r="F30" s="374"/>
      <c r="G30" s="359"/>
      <c r="H30" s="390">
        <v>2</v>
      </c>
      <c r="I30" s="391"/>
      <c r="J30" s="392">
        <v>2</v>
      </c>
      <c r="K30" s="393"/>
      <c r="L30" s="394"/>
      <c r="M30" s="394"/>
      <c r="N30" s="394"/>
    </row>
    <row r="31" spans="1:14">
      <c r="A31" s="358" t="s">
        <v>833</v>
      </c>
      <c r="B31" s="358"/>
      <c r="C31" s="358"/>
      <c r="D31" s="359"/>
      <c r="E31" s="359"/>
      <c r="F31" s="374"/>
      <c r="G31" s="359"/>
      <c r="H31" s="390"/>
      <c r="I31" s="391"/>
      <c r="J31" s="376">
        <v>0.66</v>
      </c>
      <c r="K31" s="377"/>
      <c r="L31" s="378"/>
      <c r="M31" s="378"/>
      <c r="N31" s="378"/>
    </row>
    <row r="32" spans="1:14">
      <c r="A32" s="358" t="s">
        <v>834</v>
      </c>
      <c r="B32" s="358" t="s">
        <v>835</v>
      </c>
      <c r="C32" s="358"/>
      <c r="D32" s="359"/>
      <c r="E32" s="359"/>
      <c r="F32" s="374"/>
      <c r="G32" s="359"/>
      <c r="H32" s="390">
        <v>0.2</v>
      </c>
      <c r="I32" s="391"/>
      <c r="J32" s="392">
        <v>0.2</v>
      </c>
      <c r="K32" s="393"/>
      <c r="L32" s="394"/>
      <c r="M32" s="394"/>
      <c r="N32" s="394"/>
    </row>
    <row r="33" spans="1:14">
      <c r="A33" s="358" t="s">
        <v>836</v>
      </c>
      <c r="B33" s="358"/>
      <c r="C33" s="358"/>
      <c r="D33" s="359"/>
      <c r="E33" s="359"/>
      <c r="F33" s="374"/>
      <c r="G33" s="359"/>
      <c r="H33" s="395">
        <v>3.75</v>
      </c>
      <c r="I33" s="396"/>
      <c r="J33" s="397"/>
      <c r="K33" s="398"/>
      <c r="L33" s="399"/>
      <c r="M33" s="399"/>
      <c r="N33" s="399"/>
    </row>
    <row r="34" spans="1:14">
      <c r="A34" s="358" t="s">
        <v>836</v>
      </c>
      <c r="B34" s="358"/>
      <c r="C34" s="358"/>
      <c r="D34" s="359"/>
      <c r="E34" s="359"/>
      <c r="F34" s="374"/>
      <c r="G34" s="359"/>
      <c r="H34" s="400">
        <v>45</v>
      </c>
      <c r="I34" s="401"/>
      <c r="J34" s="402"/>
      <c r="K34" s="403"/>
      <c r="L34" s="404"/>
      <c r="M34" s="404"/>
      <c r="N34" s="404"/>
    </row>
    <row r="35" spans="1:14">
      <c r="A35" s="358" t="s">
        <v>836</v>
      </c>
      <c r="B35" s="358" t="s">
        <v>837</v>
      </c>
      <c r="C35" s="358"/>
      <c r="D35" s="359"/>
      <c r="E35" s="359"/>
      <c r="F35" s="374"/>
      <c r="G35" s="359"/>
      <c r="H35" s="400">
        <v>15</v>
      </c>
      <c r="I35" s="401"/>
      <c r="J35" s="402"/>
      <c r="K35" s="403"/>
      <c r="L35" s="404"/>
      <c r="M35" s="404"/>
      <c r="N35" s="404"/>
    </row>
    <row r="36" spans="1:14">
      <c r="A36" s="405" t="s">
        <v>838</v>
      </c>
      <c r="B36" s="358"/>
      <c r="C36" s="358"/>
      <c r="D36" s="358"/>
      <c r="E36" s="358"/>
      <c r="F36" s="358"/>
      <c r="G36" s="359"/>
      <c r="H36" s="406">
        <v>7</v>
      </c>
      <c r="I36" s="407"/>
      <c r="J36" s="408">
        <v>7</v>
      </c>
      <c r="K36" s="409"/>
      <c r="L36" s="410"/>
      <c r="M36" s="410"/>
      <c r="N36" s="410"/>
    </row>
    <row r="37" spans="1:14">
      <c r="A37" s="358"/>
      <c r="B37" s="358"/>
      <c r="C37" s="358"/>
      <c r="D37" s="358"/>
      <c r="E37" s="358"/>
      <c r="F37" s="358"/>
      <c r="G37" s="359"/>
      <c r="H37" s="359"/>
      <c r="I37" s="365"/>
      <c r="J37" s="359"/>
      <c r="K37" s="362"/>
      <c r="L37" s="363"/>
      <c r="M37" s="363"/>
      <c r="N37" s="363"/>
    </row>
    <row r="38" spans="1:14">
      <c r="A38" s="358"/>
      <c r="B38" s="358"/>
      <c r="C38" s="358"/>
      <c r="D38" s="358"/>
      <c r="E38" s="358"/>
      <c r="F38" s="358"/>
      <c r="G38" s="359"/>
      <c r="H38" s="359"/>
      <c r="I38" s="365"/>
      <c r="J38" s="359"/>
      <c r="K38" s="362"/>
      <c r="L38" s="363"/>
      <c r="M38" s="363"/>
      <c r="N38" s="363"/>
    </row>
  </sheetData>
  <mergeCells count="9">
    <mergeCell ref="G3:G4"/>
    <mergeCell ref="H3:I3"/>
    <mergeCell ref="J3:L3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scale="54" orientation="landscape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V149"/>
  <sheetViews>
    <sheetView showGridLines="0" showZeros="0" zoomScale="130" zoomScaleNormal="130" zoomScalePageLayoutView="110" workbookViewId="0">
      <selection activeCell="G80" sqref="G80"/>
    </sheetView>
  </sheetViews>
  <sheetFormatPr baseColWidth="10" defaultColWidth="8.83203125" defaultRowHeight="13"/>
  <cols>
    <col min="1" max="1" width="12" style="146" customWidth="1"/>
    <col min="2" max="2" width="37.5" style="108" customWidth="1"/>
    <col min="3" max="3" width="8.83203125" style="108"/>
    <col min="4" max="4" width="11.5" style="136" customWidth="1"/>
    <col min="5" max="5" width="12.6640625" style="137" customWidth="1"/>
    <col min="6" max="7" width="8.83203125" style="108"/>
    <col min="8" max="8" width="17.1640625" style="108" customWidth="1"/>
    <col min="9" max="9" width="13.33203125" style="108" customWidth="1"/>
    <col min="10" max="19" width="14.1640625" style="108" customWidth="1"/>
    <col min="20" max="20" width="8.83203125" style="108"/>
    <col min="21" max="21" width="18.5" style="108" bestFit="1" customWidth="1"/>
    <col min="22" max="16384" width="8.83203125" style="108"/>
  </cols>
  <sheetData>
    <row r="1" spans="1:22" ht="14" thickBot="1">
      <c r="B1" s="221" t="s">
        <v>304</v>
      </c>
      <c r="C1" s="134" t="s">
        <v>275</v>
      </c>
      <c r="D1" s="140" t="s">
        <v>301</v>
      </c>
      <c r="E1" s="141" t="s">
        <v>172</v>
      </c>
      <c r="F1" s="135" t="s">
        <v>303</v>
      </c>
    </row>
    <row r="2" spans="1:22" ht="25" customHeight="1">
      <c r="A2" s="146" t="s">
        <v>6</v>
      </c>
      <c r="B2" s="116" t="s">
        <v>54</v>
      </c>
      <c r="C2" s="109">
        <v>0.2</v>
      </c>
      <c r="D2" s="142">
        <v>1</v>
      </c>
      <c r="E2" s="143">
        <v>2000</v>
      </c>
      <c r="F2" s="110"/>
      <c r="G2" s="102">
        <f>IF(B2="","",COUNTIF(Losses!AI:AI,B2))</f>
        <v>0</v>
      </c>
      <c r="H2" s="515"/>
      <c r="I2" s="515"/>
      <c r="J2" s="515" t="s">
        <v>276</v>
      </c>
      <c r="K2" s="515" t="s">
        <v>277</v>
      </c>
      <c r="L2" s="104" t="s">
        <v>278</v>
      </c>
      <c r="M2" s="104" t="s">
        <v>279</v>
      </c>
      <c r="N2" s="160" t="s">
        <v>592</v>
      </c>
      <c r="O2" s="155" t="s">
        <v>590</v>
      </c>
      <c r="P2" s="103"/>
      <c r="Q2" s="118" t="s">
        <v>280</v>
      </c>
      <c r="R2" s="104"/>
      <c r="S2" s="118"/>
      <c r="T2" s="102"/>
      <c r="U2" s="156" t="str">
        <f>J2</f>
        <v>1965 Building Regulations</v>
      </c>
      <c r="V2" s="105"/>
    </row>
    <row r="3" spans="1:22">
      <c r="A3" s="146" t="s">
        <v>6</v>
      </c>
      <c r="B3" s="116" t="s">
        <v>77</v>
      </c>
      <c r="C3" s="109">
        <v>0.45</v>
      </c>
      <c r="D3" s="142"/>
      <c r="E3" s="143"/>
      <c r="F3" s="110"/>
      <c r="G3" s="102">
        <f>IF(B3="","",COUNTIF(Losses!AI:AI,B3))</f>
        <v>0</v>
      </c>
      <c r="H3" s="516"/>
      <c r="I3" s="516"/>
      <c r="J3" s="516"/>
      <c r="K3" s="516"/>
      <c r="L3" s="119"/>
      <c r="M3" s="119"/>
      <c r="N3" s="119"/>
      <c r="O3" s="120" t="str">
        <f>Q2</f>
        <v>Part L &amp; EPBD 2010</v>
      </c>
      <c r="P3" s="121" t="s">
        <v>281</v>
      </c>
      <c r="Q3" s="158"/>
      <c r="R3" s="106" t="s">
        <v>282</v>
      </c>
      <c r="S3" s="157" t="s">
        <v>281</v>
      </c>
      <c r="T3" s="102"/>
      <c r="U3" s="156" t="str">
        <f>K2</f>
        <v>1976 Building Regulations</v>
      </c>
      <c r="V3" s="105"/>
    </row>
    <row r="4" spans="1:22">
      <c r="A4" s="146" t="s">
        <v>6</v>
      </c>
      <c r="B4" s="116" t="s">
        <v>78</v>
      </c>
      <c r="C4" s="109">
        <v>0.45</v>
      </c>
      <c r="D4" s="142"/>
      <c r="E4" s="143"/>
      <c r="F4" s="110"/>
      <c r="G4" s="102">
        <f>IF(B4="","",COUNTIF(Losses!AI:AI,B4))</f>
        <v>0</v>
      </c>
      <c r="H4" s="122" t="s">
        <v>283</v>
      </c>
      <c r="I4" s="122" t="s">
        <v>284</v>
      </c>
      <c r="J4" s="123">
        <v>1.42</v>
      </c>
      <c r="K4" s="123">
        <v>0.6</v>
      </c>
      <c r="L4" s="123">
        <v>0.35</v>
      </c>
      <c r="M4" s="123">
        <v>0.25</v>
      </c>
      <c r="N4" s="123">
        <v>0.2</v>
      </c>
      <c r="O4" s="123">
        <v>0.25</v>
      </c>
      <c r="P4" s="124">
        <v>0.25</v>
      </c>
      <c r="Q4" s="123">
        <v>0.25</v>
      </c>
      <c r="R4" s="125">
        <v>0.15</v>
      </c>
      <c r="S4" s="126">
        <v>0.25</v>
      </c>
      <c r="T4" s="102"/>
      <c r="U4" s="156" t="str">
        <f>L2</f>
        <v>1982 Building Regulations</v>
      </c>
      <c r="V4" s="105"/>
    </row>
    <row r="5" spans="1:22">
      <c r="A5" s="146" t="s">
        <v>6</v>
      </c>
      <c r="B5" s="116" t="s">
        <v>75</v>
      </c>
      <c r="C5" s="109">
        <v>0.25</v>
      </c>
      <c r="D5" s="142"/>
      <c r="E5" s="143"/>
      <c r="F5" s="110"/>
      <c r="G5" s="102">
        <f>IF(B5="","",COUNTIF(Losses!AI:AI,B5))</f>
        <v>0</v>
      </c>
      <c r="H5" s="122" t="s">
        <v>285</v>
      </c>
      <c r="I5" s="122" t="s">
        <v>284</v>
      </c>
      <c r="J5" s="123">
        <v>1.7</v>
      </c>
      <c r="K5" s="127">
        <v>1</v>
      </c>
      <c r="L5" s="123">
        <v>0.6</v>
      </c>
      <c r="M5" s="123">
        <v>0.45</v>
      </c>
      <c r="N5" s="123">
        <v>0.35</v>
      </c>
      <c r="O5" s="123">
        <v>0.35</v>
      </c>
      <c r="P5" s="124">
        <v>0.3</v>
      </c>
      <c r="Q5" s="123">
        <v>0.35</v>
      </c>
      <c r="R5" s="125">
        <v>0.23</v>
      </c>
      <c r="S5" s="126">
        <v>0.7</v>
      </c>
      <c r="T5" s="102"/>
      <c r="U5" s="156" t="str">
        <f>M2</f>
        <v>1985 Part L 1990 edition</v>
      </c>
      <c r="V5" s="105"/>
    </row>
    <row r="6" spans="1:22">
      <c r="A6" s="146" t="s">
        <v>6</v>
      </c>
      <c r="B6" s="116" t="s">
        <v>76</v>
      </c>
      <c r="C6" s="109">
        <v>0.25</v>
      </c>
      <c r="D6" s="142"/>
      <c r="E6" s="143"/>
      <c r="F6" s="110"/>
      <c r="G6" s="102">
        <f>IF(B6="","",COUNTIF(Losses!AI:AI,B6))</f>
        <v>0</v>
      </c>
      <c r="H6" s="122" t="s">
        <v>286</v>
      </c>
      <c r="I6" s="122" t="s">
        <v>284</v>
      </c>
      <c r="J6" s="125" t="s">
        <v>287</v>
      </c>
      <c r="K6" s="125" t="s">
        <v>287</v>
      </c>
      <c r="L6" s="125" t="s">
        <v>287</v>
      </c>
      <c r="M6" s="123">
        <v>0.45</v>
      </c>
      <c r="N6" s="123">
        <v>0.25</v>
      </c>
      <c r="O6" s="123">
        <v>0.25</v>
      </c>
      <c r="P6" s="124">
        <v>0.25</v>
      </c>
      <c r="Q6" s="123">
        <v>0.25</v>
      </c>
      <c r="R6" s="125">
        <v>0.2</v>
      </c>
      <c r="S6" s="126">
        <v>0.25</v>
      </c>
      <c r="T6" s="102"/>
      <c r="U6" s="156" t="str">
        <f>N2</f>
        <v>2002 Building Regs Part L1</v>
      </c>
      <c r="V6" s="105"/>
    </row>
    <row r="7" spans="1:22">
      <c r="A7" s="146" t="s">
        <v>6</v>
      </c>
      <c r="B7" s="116" t="s">
        <v>53</v>
      </c>
      <c r="C7" s="109">
        <v>1.58</v>
      </c>
      <c r="D7" s="142"/>
      <c r="E7" s="143"/>
      <c r="F7" s="110"/>
      <c r="G7" s="102">
        <f>IF(B7="","",COUNTIF(Losses!AI:AI,B7))</f>
        <v>0</v>
      </c>
      <c r="H7" s="122" t="s">
        <v>288</v>
      </c>
      <c r="I7" s="122"/>
      <c r="J7" s="125" t="s">
        <v>287</v>
      </c>
      <c r="K7" s="125" t="s">
        <v>287</v>
      </c>
      <c r="L7" s="125" t="s">
        <v>287</v>
      </c>
      <c r="M7" s="125" t="s">
        <v>287</v>
      </c>
      <c r="N7" s="123">
        <v>2.2000000000000002</v>
      </c>
      <c r="O7" s="123">
        <v>2.2000000000000002</v>
      </c>
      <c r="P7" s="124">
        <v>2</v>
      </c>
      <c r="Q7" s="123">
        <v>2.2000000000000002</v>
      </c>
      <c r="R7" s="125">
        <v>1.5</v>
      </c>
      <c r="S7" s="126">
        <v>2.2000000000000002</v>
      </c>
      <c r="T7" s="102"/>
      <c r="U7" s="156" t="str">
        <f>Q2</f>
        <v>Part L &amp; EPBD 2010</v>
      </c>
      <c r="V7" s="105"/>
    </row>
    <row r="8" spans="1:22">
      <c r="A8" s="146" t="s">
        <v>6</v>
      </c>
      <c r="B8" s="116" t="s">
        <v>589</v>
      </c>
      <c r="C8" s="109">
        <v>2.38</v>
      </c>
      <c r="D8" s="142"/>
      <c r="E8" s="143"/>
      <c r="F8" s="110"/>
      <c r="G8" s="102">
        <f>IF(B8="","",COUNTIF(Losses!AI:AI,B8))</f>
        <v>0</v>
      </c>
      <c r="H8" s="122" t="s">
        <v>289</v>
      </c>
      <c r="I8" s="122"/>
      <c r="J8" s="125"/>
      <c r="K8" s="125"/>
      <c r="L8" s="125"/>
      <c r="M8" s="125"/>
      <c r="N8" s="123"/>
      <c r="O8" s="123">
        <v>1.6</v>
      </c>
      <c r="P8" s="124"/>
      <c r="Q8" s="123">
        <v>1.6</v>
      </c>
      <c r="R8" s="125"/>
      <c r="S8" s="126"/>
      <c r="T8" s="102"/>
      <c r="U8" s="156"/>
      <c r="V8" s="105"/>
    </row>
    <row r="9" spans="1:22">
      <c r="A9" s="146" t="s">
        <v>6</v>
      </c>
      <c r="B9" s="116" t="s">
        <v>42</v>
      </c>
      <c r="C9" s="109">
        <v>0.2</v>
      </c>
      <c r="D9" s="142"/>
      <c r="E9" s="143"/>
      <c r="F9" s="110"/>
      <c r="G9" s="102">
        <f>IF(B9="","",COUNTIF(Losses!AI:AI,B9))</f>
        <v>0</v>
      </c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56"/>
      <c r="V9" s="105"/>
    </row>
    <row r="10" spans="1:22">
      <c r="A10" s="146" t="s">
        <v>6</v>
      </c>
      <c r="B10" s="116" t="s">
        <v>50</v>
      </c>
      <c r="C10" s="109">
        <v>0.25</v>
      </c>
      <c r="D10" s="142"/>
      <c r="E10" s="143"/>
      <c r="F10" s="110"/>
      <c r="G10" s="102">
        <f>IF(B10="","",COUNTIF(Losses!AI:AI,B10))</f>
        <v>0</v>
      </c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56"/>
      <c r="V10" s="105"/>
    </row>
    <row r="11" spans="1:22">
      <c r="A11" s="146" t="s">
        <v>6</v>
      </c>
      <c r="B11" s="116" t="s">
        <v>48</v>
      </c>
      <c r="C11" s="109">
        <v>1.07</v>
      </c>
      <c r="D11" s="142"/>
      <c r="E11" s="143"/>
      <c r="F11" s="110"/>
      <c r="G11" s="102">
        <f>IF(B11="","",COUNTIF(Losses!AI:AI,B11))</f>
        <v>0</v>
      </c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56"/>
      <c r="V11" s="105"/>
    </row>
    <row r="12" spans="1:22">
      <c r="A12" s="146" t="s">
        <v>6</v>
      </c>
      <c r="B12" s="116" t="s">
        <v>49</v>
      </c>
      <c r="C12" s="109">
        <v>0.24</v>
      </c>
      <c r="D12" s="142"/>
      <c r="E12" s="143"/>
      <c r="F12" s="110"/>
      <c r="G12" s="102">
        <f>IF(B12="","",COUNTIF(Losses!AI:AI,B12))</f>
        <v>0</v>
      </c>
      <c r="H12" s="107" t="s">
        <v>292</v>
      </c>
      <c r="I12" s="128" t="s">
        <v>293</v>
      </c>
      <c r="J12" s="128" t="s">
        <v>294</v>
      </c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5"/>
    </row>
    <row r="13" spans="1:22">
      <c r="A13" s="146" t="s">
        <v>6</v>
      </c>
      <c r="B13" s="116" t="s">
        <v>52</v>
      </c>
      <c r="C13" s="109">
        <v>0.92</v>
      </c>
      <c r="D13" s="142">
        <v>0.9</v>
      </c>
      <c r="E13" s="143">
        <v>2200</v>
      </c>
      <c r="F13" s="110" t="s">
        <v>305</v>
      </c>
      <c r="G13" s="102">
        <f>IF(B13="","",COUNTIF(Losses!AI:AI,B13))</f>
        <v>0</v>
      </c>
      <c r="H13" s="107" t="s">
        <v>170</v>
      </c>
      <c r="I13" s="129">
        <v>0.84</v>
      </c>
      <c r="J13" s="130">
        <v>1700</v>
      </c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5"/>
    </row>
    <row r="14" spans="1:22">
      <c r="A14" s="146" t="s">
        <v>6</v>
      </c>
      <c r="B14" s="116" t="s">
        <v>43</v>
      </c>
      <c r="C14" s="109">
        <v>2</v>
      </c>
      <c r="D14" s="142"/>
      <c r="E14" s="143"/>
      <c r="F14" s="110"/>
      <c r="G14" s="102">
        <f>IF(B14="","",COUNTIF(Losses!AI:AI,B14))</f>
        <v>0</v>
      </c>
      <c r="H14" s="107" t="s">
        <v>295</v>
      </c>
      <c r="I14" s="129">
        <v>0.84</v>
      </c>
      <c r="J14" s="130">
        <v>2200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5"/>
    </row>
    <row r="15" spans="1:22">
      <c r="A15" s="146" t="s">
        <v>6</v>
      </c>
      <c r="B15" s="116" t="s">
        <v>47</v>
      </c>
      <c r="C15" s="109">
        <v>0.81</v>
      </c>
      <c r="D15" s="142"/>
      <c r="E15" s="143"/>
      <c r="F15" s="110"/>
      <c r="G15" s="102">
        <f>IF(B15="","",COUNTIF(Losses!AI:AI,B15))</f>
        <v>0</v>
      </c>
      <c r="H15" s="107" t="s">
        <v>200</v>
      </c>
      <c r="I15" s="129">
        <v>0.84</v>
      </c>
      <c r="J15" s="130">
        <v>140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5"/>
    </row>
    <row r="16" spans="1:22">
      <c r="A16" s="146" t="s">
        <v>6</v>
      </c>
      <c r="B16" s="116" t="s">
        <v>40</v>
      </c>
      <c r="C16" s="109">
        <v>0.25</v>
      </c>
      <c r="D16" s="142"/>
      <c r="E16" s="143"/>
      <c r="F16" s="110"/>
      <c r="G16" s="102">
        <f>IF(B16="","",COUNTIF(Losses!AI:AI,B16))</f>
        <v>0</v>
      </c>
      <c r="H16" s="107" t="s">
        <v>296</v>
      </c>
      <c r="I16" s="129">
        <v>0.84</v>
      </c>
      <c r="J16" s="130">
        <v>10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5"/>
    </row>
    <row r="17" spans="1:22">
      <c r="A17" s="146" t="s">
        <v>6</v>
      </c>
      <c r="B17" s="116" t="s">
        <v>41</v>
      </c>
      <c r="C17" s="109">
        <v>0.22</v>
      </c>
      <c r="D17" s="142"/>
      <c r="E17" s="143"/>
      <c r="F17" s="110"/>
      <c r="G17" s="102">
        <f>IF(B17="","",COUNTIF(Losses!AI:AI,B17))</f>
        <v>0</v>
      </c>
      <c r="H17" s="107" t="s">
        <v>297</v>
      </c>
      <c r="I17" s="129">
        <v>1.4</v>
      </c>
      <c r="J17" s="130">
        <v>500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5"/>
    </row>
    <row r="18" spans="1:22">
      <c r="A18" s="146" t="s">
        <v>6</v>
      </c>
      <c r="B18" s="116" t="s">
        <v>45</v>
      </c>
      <c r="C18" s="109">
        <v>0.1</v>
      </c>
      <c r="D18" s="142"/>
      <c r="E18" s="143"/>
      <c r="F18" s="110"/>
      <c r="G18" s="102">
        <f>IF(B18="","",COUNTIF(Losses!AI:AI,B18))</f>
        <v>0</v>
      </c>
      <c r="H18" s="107" t="s">
        <v>298</v>
      </c>
      <c r="I18" s="129">
        <v>1.2</v>
      </c>
      <c r="J18" s="130">
        <v>500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5"/>
    </row>
    <row r="19" spans="1:22">
      <c r="A19" s="146" t="s">
        <v>6</v>
      </c>
      <c r="B19" s="116" t="s">
        <v>51</v>
      </c>
      <c r="C19" s="109">
        <v>0.28000000000000003</v>
      </c>
      <c r="D19" s="142"/>
      <c r="E19" s="143"/>
      <c r="F19" s="110"/>
      <c r="G19" s="102">
        <f>IF(B19="","",COUNTIF(Losses!AI:AI,B19))</f>
        <v>0</v>
      </c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5"/>
    </row>
    <row r="20" spans="1:22">
      <c r="A20" s="146" t="s">
        <v>6</v>
      </c>
      <c r="B20" s="116" t="s">
        <v>46</v>
      </c>
      <c r="C20" s="109">
        <v>1.88</v>
      </c>
      <c r="D20" s="142"/>
      <c r="E20" s="143"/>
      <c r="F20" s="110"/>
      <c r="G20" s="102">
        <f>IF(B20="","",COUNTIF(Losses!AI:AI,B20))</f>
        <v>0</v>
      </c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5"/>
    </row>
    <row r="21" spans="1:22">
      <c r="A21" s="146" t="s">
        <v>6</v>
      </c>
      <c r="B21" s="116" t="s">
        <v>113</v>
      </c>
      <c r="C21" s="109">
        <v>0.36</v>
      </c>
      <c r="D21" s="142">
        <v>0.9</v>
      </c>
      <c r="E21" s="143">
        <v>2200</v>
      </c>
      <c r="F21" s="110" t="s">
        <v>117</v>
      </c>
      <c r="G21" s="102">
        <f>IF(B21="","",COUNTIF(Losses!AI:AI,B21))</f>
        <v>0</v>
      </c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5"/>
    </row>
    <row r="22" spans="1:22">
      <c r="A22" s="146" t="s">
        <v>6</v>
      </c>
      <c r="B22" s="116" t="s">
        <v>111</v>
      </c>
      <c r="C22" s="109">
        <v>0.62</v>
      </c>
      <c r="D22" s="142">
        <v>0.9</v>
      </c>
      <c r="E22" s="143">
        <v>2200</v>
      </c>
      <c r="F22" s="110" t="s">
        <v>117</v>
      </c>
      <c r="G22" s="102">
        <f>IF(B22="","",COUNTIF(Losses!AI:AI,B22))</f>
        <v>0</v>
      </c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5"/>
    </row>
    <row r="23" spans="1:22">
      <c r="A23" s="146" t="s">
        <v>6</v>
      </c>
      <c r="B23" s="116" t="s">
        <v>114</v>
      </c>
      <c r="C23" s="109">
        <v>0.21</v>
      </c>
      <c r="D23" s="142">
        <v>0.9</v>
      </c>
      <c r="E23" s="143">
        <v>2200</v>
      </c>
      <c r="F23" s="110" t="s">
        <v>117</v>
      </c>
      <c r="G23" s="102">
        <f>IF(B23="","",COUNTIF(Losses!AI:AI,B23))</f>
        <v>0</v>
      </c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5"/>
    </row>
    <row r="24" spans="1:22">
      <c r="A24" s="146" t="s">
        <v>6</v>
      </c>
      <c r="B24" s="116" t="s">
        <v>112</v>
      </c>
      <c r="C24" s="109">
        <v>0.36</v>
      </c>
      <c r="D24" s="142">
        <v>0.9</v>
      </c>
      <c r="E24" s="143">
        <v>2200</v>
      </c>
      <c r="F24" s="110" t="s">
        <v>117</v>
      </c>
      <c r="G24" s="102">
        <f>IF(B24="","",COUNTIF(Losses!AI:AI,B24))</f>
        <v>0</v>
      </c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5"/>
    </row>
    <row r="25" spans="1:22">
      <c r="A25" s="146" t="s">
        <v>6</v>
      </c>
      <c r="B25" s="116" t="s">
        <v>110</v>
      </c>
      <c r="C25" s="109">
        <v>0.73</v>
      </c>
      <c r="D25" s="142">
        <v>0.9</v>
      </c>
      <c r="E25" s="143">
        <v>2200</v>
      </c>
      <c r="F25" s="110" t="s">
        <v>117</v>
      </c>
      <c r="G25" s="102">
        <f>IF(B25="","",COUNTIF(Losses!AI:AI,B25))</f>
        <v>0</v>
      </c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5"/>
    </row>
    <row r="26" spans="1:22">
      <c r="A26" s="146" t="s">
        <v>6</v>
      </c>
      <c r="B26" s="116" t="s">
        <v>109</v>
      </c>
      <c r="C26" s="109">
        <v>1.22</v>
      </c>
      <c r="D26" s="142">
        <v>0.9</v>
      </c>
      <c r="E26" s="143">
        <v>2200</v>
      </c>
      <c r="F26" s="110" t="s">
        <v>117</v>
      </c>
      <c r="G26" s="102">
        <f>IF(B26="","",COUNTIF(Losses!AI:AI,B26))</f>
        <v>0</v>
      </c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5"/>
    </row>
    <row r="27" spans="1:22">
      <c r="A27" s="146" t="s">
        <v>6</v>
      </c>
      <c r="B27" s="116" t="s">
        <v>116</v>
      </c>
      <c r="C27" s="109">
        <v>0.15</v>
      </c>
      <c r="D27" s="142">
        <v>0.9</v>
      </c>
      <c r="E27" s="143">
        <v>2200</v>
      </c>
      <c r="F27" s="110" t="s">
        <v>117</v>
      </c>
      <c r="G27" s="102">
        <f>IF(B27="","",COUNTIF(Losses!AI:AI,B27))</f>
        <v>0</v>
      </c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5"/>
    </row>
    <row r="28" spans="1:22">
      <c r="A28" s="146" t="s">
        <v>6</v>
      </c>
      <c r="B28" s="116" t="s">
        <v>115</v>
      </c>
      <c r="C28" s="109">
        <v>0.26</v>
      </c>
      <c r="D28" s="142">
        <v>0.9</v>
      </c>
      <c r="E28" s="143">
        <v>2200</v>
      </c>
      <c r="F28" s="110" t="s">
        <v>117</v>
      </c>
      <c r="G28" s="102">
        <f>IF(B28="","",COUNTIF(Losses!AI:AI,B28))</f>
        <v>0</v>
      </c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5"/>
    </row>
    <row r="29" spans="1:22">
      <c r="A29" s="146" t="s">
        <v>6</v>
      </c>
      <c r="B29" s="116" t="s">
        <v>44</v>
      </c>
      <c r="C29" s="109">
        <v>0.25</v>
      </c>
      <c r="D29" s="142">
        <v>0.9</v>
      </c>
      <c r="E29" s="143">
        <v>2200</v>
      </c>
      <c r="F29" s="117"/>
      <c r="G29" s="102">
        <f>IF(B29="","",COUNTIF(Losses!AI:AI,B29))</f>
        <v>0</v>
      </c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5"/>
    </row>
    <row r="30" spans="1:22">
      <c r="A30" s="146" t="s">
        <v>6</v>
      </c>
      <c r="B30" s="133"/>
      <c r="C30" s="131"/>
      <c r="D30" s="142"/>
      <c r="E30" s="143"/>
      <c r="F30" s="132"/>
      <c r="G30" s="102" t="str">
        <f>IF(B30="","",COUNTIF(Losses!AI:AI,B30))</f>
        <v/>
      </c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5"/>
    </row>
    <row r="31" spans="1:22">
      <c r="A31" s="146" t="s">
        <v>6</v>
      </c>
      <c r="B31" s="133"/>
      <c r="C31" s="131"/>
      <c r="D31" s="142"/>
      <c r="E31" s="143"/>
      <c r="F31" s="132"/>
      <c r="G31" s="102" t="str">
        <f>IF(B31="","",COUNTIF(Losses!AI:AI,B31))</f>
        <v/>
      </c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5"/>
    </row>
    <row r="32" spans="1:22">
      <c r="A32" s="146" t="s">
        <v>6</v>
      </c>
      <c r="B32" s="133"/>
      <c r="C32" s="131"/>
      <c r="D32" s="142"/>
      <c r="E32" s="143"/>
      <c r="F32" s="132"/>
      <c r="G32" s="102" t="str">
        <f>IF(B32="","",COUNTIF(Losses!AI:AI,B32))</f>
        <v/>
      </c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5"/>
    </row>
    <row r="33" spans="1:22">
      <c r="A33" s="146" t="s">
        <v>19</v>
      </c>
      <c r="B33" s="111" t="s">
        <v>99</v>
      </c>
      <c r="C33" s="109">
        <v>1.9</v>
      </c>
      <c r="D33" s="142">
        <v>0.84</v>
      </c>
      <c r="E33" s="143">
        <v>2500</v>
      </c>
      <c r="F33" s="132"/>
      <c r="G33" s="102">
        <f>IF(B33="","",COUNTIF(Losses!AI:AI,B33))</f>
        <v>0</v>
      </c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5"/>
    </row>
    <row r="34" spans="1:22">
      <c r="A34" s="146" t="s">
        <v>19</v>
      </c>
      <c r="B34" s="111" t="s">
        <v>94</v>
      </c>
      <c r="C34" s="109">
        <v>1.5</v>
      </c>
      <c r="D34" s="142">
        <v>0.84</v>
      </c>
      <c r="E34" s="143">
        <v>2500</v>
      </c>
      <c r="F34" s="132"/>
      <c r="G34" s="102">
        <f>IF(B34="","",COUNTIF(Losses!AI:AI,B34))</f>
        <v>0</v>
      </c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5"/>
    </row>
    <row r="35" spans="1:22">
      <c r="A35" s="146" t="s">
        <v>19</v>
      </c>
      <c r="B35" s="111" t="s">
        <v>95</v>
      </c>
      <c r="C35" s="109">
        <v>1.65</v>
      </c>
      <c r="D35" s="142">
        <v>0.84</v>
      </c>
      <c r="E35" s="143">
        <v>2500</v>
      </c>
      <c r="F35" s="132"/>
      <c r="G35" s="102">
        <f>IF(B35="","",COUNTIF(Losses!AI:AI,B35))</f>
        <v>0</v>
      </c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5"/>
    </row>
    <row r="36" spans="1:22">
      <c r="A36" s="146" t="s">
        <v>19</v>
      </c>
      <c r="B36" s="111" t="s">
        <v>96</v>
      </c>
      <c r="C36" s="109">
        <v>1.8</v>
      </c>
      <c r="D36" s="142">
        <v>0.84</v>
      </c>
      <c r="E36" s="143">
        <v>2500</v>
      </c>
      <c r="F36" s="132"/>
      <c r="G36" s="102">
        <f>IF(B36="","",COUNTIF(Losses!AI:AI,B36))</f>
        <v>0</v>
      </c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5"/>
    </row>
    <row r="37" spans="1:22">
      <c r="A37" s="146" t="s">
        <v>19</v>
      </c>
      <c r="B37" s="111" t="s">
        <v>93</v>
      </c>
      <c r="C37" s="109">
        <v>2.8</v>
      </c>
      <c r="D37" s="142">
        <v>0.84</v>
      </c>
      <c r="E37" s="143">
        <v>2500</v>
      </c>
      <c r="F37" s="132"/>
      <c r="G37" s="102">
        <f>IF(B37="","",COUNTIF(Losses!AI:AI,B37))</f>
        <v>0</v>
      </c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5"/>
    </row>
    <row r="38" spans="1:22">
      <c r="A38" s="146" t="s">
        <v>19</v>
      </c>
      <c r="B38" s="111" t="s">
        <v>90</v>
      </c>
      <c r="C38" s="109">
        <v>2.8</v>
      </c>
      <c r="D38" s="142">
        <v>0.84</v>
      </c>
      <c r="E38" s="143">
        <v>2500</v>
      </c>
      <c r="F38" s="132"/>
      <c r="G38" s="102">
        <f>IF(B38="","",COUNTIF(Losses!AI:AI,B38))</f>
        <v>0</v>
      </c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5"/>
    </row>
    <row r="39" spans="1:22">
      <c r="A39" s="146" t="s">
        <v>19</v>
      </c>
      <c r="B39" s="111" t="s">
        <v>91</v>
      </c>
      <c r="C39" s="109">
        <v>2.8</v>
      </c>
      <c r="D39" s="142">
        <v>0.84</v>
      </c>
      <c r="E39" s="143">
        <v>2500</v>
      </c>
      <c r="F39" s="132"/>
      <c r="G39" s="102">
        <f>IF(B39="","",COUNTIF(Losses!AI:AI,B39))</f>
        <v>0</v>
      </c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5"/>
    </row>
    <row r="40" spans="1:22">
      <c r="A40" s="146" t="s">
        <v>19</v>
      </c>
      <c r="B40" s="111" t="s">
        <v>89</v>
      </c>
      <c r="C40" s="109">
        <v>3.2</v>
      </c>
      <c r="D40" s="142">
        <v>0.84</v>
      </c>
      <c r="E40" s="143">
        <v>2500</v>
      </c>
      <c r="F40" s="132"/>
      <c r="G40" s="102">
        <f>IF(B40="","",COUNTIF(Losses!AI:AI,B40))</f>
        <v>0</v>
      </c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5"/>
    </row>
    <row r="41" spans="1:22">
      <c r="A41" s="146" t="s">
        <v>19</v>
      </c>
      <c r="B41" s="111" t="s">
        <v>103</v>
      </c>
      <c r="C41" s="109">
        <v>2.4</v>
      </c>
      <c r="D41" s="142">
        <v>0.84</v>
      </c>
      <c r="E41" s="143">
        <v>2500</v>
      </c>
      <c r="F41" s="132"/>
      <c r="G41" s="102">
        <f>IF(B41="","",COUNTIF(Losses!AI:AI,B41))</f>
        <v>0</v>
      </c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5"/>
    </row>
    <row r="42" spans="1:22">
      <c r="A42" s="146" t="s">
        <v>19</v>
      </c>
      <c r="B42" s="111" t="s">
        <v>98</v>
      </c>
      <c r="C42" s="109">
        <v>3</v>
      </c>
      <c r="D42" s="142">
        <v>0.84</v>
      </c>
      <c r="E42" s="143">
        <v>2500</v>
      </c>
      <c r="F42" s="132"/>
      <c r="G42" s="102">
        <f>IF(B42="","",COUNTIF(Losses!AI:AI,B42))</f>
        <v>0</v>
      </c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5"/>
    </row>
    <row r="43" spans="1:22">
      <c r="A43" s="146" t="s">
        <v>19</v>
      </c>
      <c r="B43" s="111" t="s">
        <v>101</v>
      </c>
      <c r="C43" s="109">
        <v>1.6</v>
      </c>
      <c r="D43" s="142">
        <v>0.84</v>
      </c>
      <c r="E43" s="143">
        <v>2500</v>
      </c>
      <c r="F43" s="132"/>
      <c r="G43" s="102">
        <f>IF(B43="","",COUNTIF(Losses!AI:AI,B43))</f>
        <v>0</v>
      </c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5"/>
    </row>
    <row r="44" spans="1:22">
      <c r="A44" s="146" t="s">
        <v>19</v>
      </c>
      <c r="B44" s="111" t="s">
        <v>97</v>
      </c>
      <c r="C44" s="109">
        <v>3</v>
      </c>
      <c r="D44" s="142">
        <v>0.84</v>
      </c>
      <c r="E44" s="143">
        <v>2500</v>
      </c>
      <c r="F44" s="132"/>
      <c r="G44" s="102">
        <f>IF(B44="","",COUNTIF(Losses!AI:AI,B44))</f>
        <v>0</v>
      </c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5"/>
    </row>
    <row r="45" spans="1:22">
      <c r="A45" s="146" t="s">
        <v>19</v>
      </c>
      <c r="B45" s="111" t="s">
        <v>102</v>
      </c>
      <c r="C45" s="109">
        <v>1.6</v>
      </c>
      <c r="D45" s="142">
        <v>0.84</v>
      </c>
      <c r="E45" s="143">
        <v>2500</v>
      </c>
      <c r="F45" s="132"/>
      <c r="G45" s="102">
        <f>IF(B45="","",COUNTIF(Losses!AI:AI,B45))</f>
        <v>0</v>
      </c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5"/>
    </row>
    <row r="46" spans="1:22">
      <c r="A46" s="146" t="s">
        <v>19</v>
      </c>
      <c r="B46" s="111" t="s">
        <v>100</v>
      </c>
      <c r="C46" s="109">
        <v>1.8</v>
      </c>
      <c r="D46" s="142">
        <v>0.84</v>
      </c>
      <c r="E46" s="143">
        <v>2500</v>
      </c>
      <c r="F46" s="132"/>
      <c r="G46" s="102">
        <f>IF(B46="","",COUNTIF(Losses!AI:AI,B46))</f>
        <v>0</v>
      </c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5"/>
    </row>
    <row r="47" spans="1:22">
      <c r="A47" s="146" t="s">
        <v>19</v>
      </c>
      <c r="B47" s="111" t="s">
        <v>92</v>
      </c>
      <c r="C47" s="109">
        <v>2.8</v>
      </c>
      <c r="D47" s="142">
        <v>0.84</v>
      </c>
      <c r="E47" s="143">
        <v>2500</v>
      </c>
      <c r="F47" s="132"/>
      <c r="G47" s="102">
        <f>IF(B47="","",COUNTIF(Losses!AI:AI,B47))</f>
        <v>0</v>
      </c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5"/>
    </row>
    <row r="48" spans="1:22">
      <c r="A48" s="146" t="s">
        <v>19</v>
      </c>
      <c r="B48" s="111" t="s">
        <v>106</v>
      </c>
      <c r="C48" s="109">
        <v>3.5</v>
      </c>
      <c r="D48" s="142">
        <v>0.84</v>
      </c>
      <c r="E48" s="143">
        <v>2500</v>
      </c>
      <c r="F48" s="132"/>
      <c r="G48" s="102">
        <f>IF(B48="","",COUNTIF(Losses!AI:AI,B48))</f>
        <v>0</v>
      </c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5"/>
    </row>
    <row r="49" spans="1:22">
      <c r="A49" s="146" t="s">
        <v>19</v>
      </c>
      <c r="B49" s="111" t="s">
        <v>105</v>
      </c>
      <c r="C49" s="109">
        <v>2.2000000000000002</v>
      </c>
      <c r="D49" s="142">
        <v>0.84</v>
      </c>
      <c r="E49" s="143">
        <v>2500</v>
      </c>
      <c r="F49" s="132"/>
      <c r="G49" s="102">
        <f>IF(B49="","",COUNTIF(Losses!AI:AI,B49))</f>
        <v>0</v>
      </c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5"/>
    </row>
    <row r="50" spans="1:22">
      <c r="A50" s="146" t="s">
        <v>19</v>
      </c>
      <c r="B50" s="111" t="s">
        <v>104</v>
      </c>
      <c r="C50" s="109">
        <v>1.9</v>
      </c>
      <c r="D50" s="142">
        <v>0.84</v>
      </c>
      <c r="E50" s="143">
        <v>2500</v>
      </c>
      <c r="F50" s="132"/>
      <c r="G50" s="102">
        <f>IF(B50="","",COUNTIF(Losses!AI:AI,B50))</f>
        <v>0</v>
      </c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5"/>
    </row>
    <row r="51" spans="1:22">
      <c r="A51" s="146" t="s">
        <v>19</v>
      </c>
      <c r="B51" s="111" t="s">
        <v>107</v>
      </c>
      <c r="C51" s="109">
        <v>6.2</v>
      </c>
      <c r="D51" s="142">
        <v>0.84</v>
      </c>
      <c r="E51" s="143">
        <v>2500</v>
      </c>
      <c r="F51" s="132"/>
      <c r="G51" s="102">
        <f>IF(B51="","",COUNTIF(Losses!AI:AI,B51))</f>
        <v>0</v>
      </c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5"/>
    </row>
    <row r="52" spans="1:22">
      <c r="A52" s="146" t="s">
        <v>19</v>
      </c>
      <c r="B52" s="111" t="s">
        <v>86</v>
      </c>
      <c r="C52" s="109">
        <v>5.7</v>
      </c>
      <c r="D52" s="142">
        <v>0.84</v>
      </c>
      <c r="E52" s="143">
        <v>2500</v>
      </c>
      <c r="F52" s="132"/>
      <c r="G52" s="102">
        <f>IF(B52="","",COUNTIF(Losses!AI:AI,B52))</f>
        <v>0</v>
      </c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5"/>
    </row>
    <row r="53" spans="1:22">
      <c r="A53" s="146" t="s">
        <v>19</v>
      </c>
      <c r="B53" s="111" t="s">
        <v>613</v>
      </c>
      <c r="C53" s="109">
        <v>2.1</v>
      </c>
      <c r="D53" s="142">
        <v>0.84</v>
      </c>
      <c r="E53" s="143">
        <v>2500</v>
      </c>
      <c r="F53" s="115" t="s">
        <v>274</v>
      </c>
      <c r="G53" s="102">
        <f>IF(B53="","",COUNTIF(Losses!AI:AI,B53))</f>
        <v>0</v>
      </c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5"/>
    </row>
    <row r="54" spans="1:22">
      <c r="A54" s="146" t="s">
        <v>19</v>
      </c>
      <c r="B54" s="111" t="s">
        <v>87</v>
      </c>
      <c r="C54" s="109">
        <v>2.4</v>
      </c>
      <c r="D54" s="142">
        <v>0.84</v>
      </c>
      <c r="E54" s="143">
        <v>2500</v>
      </c>
      <c r="F54" s="132"/>
      <c r="G54" s="102">
        <f>IF(B54="","",COUNTIF(Losses!AI:AI,B54))</f>
        <v>0</v>
      </c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5"/>
    </row>
    <row r="55" spans="1:22">
      <c r="A55" s="146" t="s">
        <v>19</v>
      </c>
      <c r="B55" s="111" t="s">
        <v>88</v>
      </c>
      <c r="C55" s="109">
        <v>0.5</v>
      </c>
      <c r="D55" s="142">
        <v>0.84</v>
      </c>
      <c r="E55" s="143">
        <v>2500</v>
      </c>
      <c r="F55" s="132"/>
      <c r="G55" s="102">
        <f>IF(B55="","",COUNTIF(Losses!AI:AI,B55))</f>
        <v>0</v>
      </c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5"/>
    </row>
    <row r="56" spans="1:22">
      <c r="A56" s="146" t="s">
        <v>19</v>
      </c>
      <c r="B56" s="111" t="s">
        <v>615</v>
      </c>
      <c r="C56" s="109">
        <v>1.83</v>
      </c>
      <c r="D56" s="142"/>
      <c r="E56" s="143"/>
      <c r="F56" s="115" t="s">
        <v>274</v>
      </c>
      <c r="G56" s="102">
        <f>IF(B56="","",COUNTIF(Losses!AI:AI,B56))</f>
        <v>0</v>
      </c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5"/>
    </row>
    <row r="57" spans="1:22">
      <c r="A57" s="146" t="s">
        <v>19</v>
      </c>
      <c r="B57" s="111" t="s">
        <v>841</v>
      </c>
      <c r="C57" s="109">
        <v>1</v>
      </c>
      <c r="D57" s="142">
        <v>0.84</v>
      </c>
      <c r="E57" s="143">
        <v>2500</v>
      </c>
      <c r="F57" s="132"/>
      <c r="G57" s="102">
        <f>IF(B57="","",COUNTIF(Losses!AI:AI,B57))</f>
        <v>0</v>
      </c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5"/>
    </row>
    <row r="58" spans="1:22">
      <c r="A58" s="146" t="s">
        <v>19</v>
      </c>
      <c r="B58" s="111" t="s">
        <v>840</v>
      </c>
      <c r="C58" s="109">
        <v>1</v>
      </c>
      <c r="D58" s="142">
        <v>2.2000000000000002</v>
      </c>
      <c r="E58" s="143">
        <v>2500</v>
      </c>
      <c r="F58" s="132"/>
      <c r="G58" s="102">
        <f>IF(B58="","",COUNTIF(Losses!AI:AI,B58))</f>
        <v>0</v>
      </c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5"/>
    </row>
    <row r="59" spans="1:22">
      <c r="A59" s="146" t="s">
        <v>19</v>
      </c>
      <c r="B59" s="111" t="s">
        <v>842</v>
      </c>
      <c r="C59" s="109">
        <v>1</v>
      </c>
      <c r="D59" s="142">
        <v>1.6</v>
      </c>
      <c r="E59" s="143">
        <v>2500</v>
      </c>
      <c r="F59" s="132"/>
      <c r="G59" s="102">
        <f>IF(B59="","",COUNTIF(Losses!AI:AI,B59))</f>
        <v>0</v>
      </c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5"/>
    </row>
    <row r="60" spans="1:22">
      <c r="A60" s="146" t="s">
        <v>19</v>
      </c>
      <c r="B60" s="111"/>
      <c r="C60" s="109"/>
      <c r="D60" s="142"/>
      <c r="E60" s="143"/>
      <c r="F60" s="132"/>
      <c r="G60" s="102" t="str">
        <f>IF(B60="","",COUNTIF(Losses!AI:AI,B60))</f>
        <v/>
      </c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5"/>
    </row>
    <row r="61" spans="1:22">
      <c r="A61" s="146" t="s">
        <v>19</v>
      </c>
      <c r="B61" s="111"/>
      <c r="C61" s="109"/>
      <c r="D61" s="142"/>
      <c r="E61" s="143"/>
      <c r="F61" s="132"/>
      <c r="G61" s="102" t="str">
        <f>IF(B61="","",COUNTIF(Losses!AI:AI,B61))</f>
        <v/>
      </c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5"/>
    </row>
    <row r="62" spans="1:22">
      <c r="A62" s="146" t="s">
        <v>19</v>
      </c>
      <c r="B62" s="133"/>
      <c r="C62" s="131"/>
      <c r="D62" s="142"/>
      <c r="E62" s="143"/>
      <c r="F62" s="132"/>
      <c r="G62" s="102" t="str">
        <f>IF(B62="","",COUNTIF(Losses!AI:AI,B62))</f>
        <v/>
      </c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5"/>
    </row>
    <row r="63" spans="1:22">
      <c r="A63" s="146" t="s">
        <v>29</v>
      </c>
      <c r="B63" s="111" t="s">
        <v>59</v>
      </c>
      <c r="C63" s="109">
        <v>0.15</v>
      </c>
      <c r="D63" s="142"/>
      <c r="E63" s="143"/>
      <c r="F63" s="110"/>
      <c r="G63" s="102">
        <f>IF(B63="","",COUNTIF(Losses!AI:AI,B63))</f>
        <v>0</v>
      </c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5"/>
    </row>
    <row r="64" spans="1:22">
      <c r="A64" s="146" t="s">
        <v>29</v>
      </c>
      <c r="B64" s="111" t="s">
        <v>60</v>
      </c>
      <c r="C64" s="109">
        <v>1.07</v>
      </c>
      <c r="D64" s="142"/>
      <c r="E64" s="143"/>
      <c r="F64" s="110"/>
      <c r="G64" s="102">
        <f>IF(B64="","",COUNTIF(Losses!AI:AI,B64))</f>
        <v>0</v>
      </c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5"/>
    </row>
    <row r="65" spans="1:22">
      <c r="A65" s="146" t="s">
        <v>29</v>
      </c>
      <c r="B65" s="111" t="s">
        <v>61</v>
      </c>
      <c r="C65" s="109">
        <v>1.42</v>
      </c>
      <c r="D65" s="142"/>
      <c r="E65" s="143"/>
      <c r="F65" s="110"/>
      <c r="G65" s="102">
        <f>IF(B65="","",COUNTIF(Losses!AI:AI,B65))</f>
        <v>0</v>
      </c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5"/>
    </row>
    <row r="66" spans="1:22">
      <c r="A66" s="146" t="s">
        <v>29</v>
      </c>
      <c r="B66" s="111" t="s">
        <v>62</v>
      </c>
      <c r="C66" s="109">
        <v>0.6</v>
      </c>
      <c r="D66" s="142"/>
      <c r="E66" s="143"/>
      <c r="F66" s="110"/>
      <c r="G66" s="102">
        <f>IF(B66="","",COUNTIF(Losses!AI:AI,B66))</f>
        <v>0</v>
      </c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5"/>
    </row>
    <row r="67" spans="1:22">
      <c r="A67" s="146" t="s">
        <v>29</v>
      </c>
      <c r="B67" s="111" t="s">
        <v>63</v>
      </c>
      <c r="C67" s="109">
        <v>0.35</v>
      </c>
      <c r="D67" s="142"/>
      <c r="E67" s="143"/>
      <c r="F67" s="110"/>
      <c r="G67" s="102">
        <f>IF(B67="","",COUNTIF(Losses!AI:AI,B67))</f>
        <v>0</v>
      </c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5"/>
    </row>
    <row r="68" spans="1:22">
      <c r="A68" s="146" t="s">
        <v>29</v>
      </c>
      <c r="B68" s="111" t="s">
        <v>64</v>
      </c>
      <c r="C68" s="109">
        <v>0.25</v>
      </c>
      <c r="D68" s="142"/>
      <c r="E68" s="143"/>
      <c r="F68" s="110"/>
      <c r="G68" s="102">
        <f>IF(B68="","",COUNTIF(Losses!AI:AI,B68))</f>
        <v>0</v>
      </c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5"/>
    </row>
    <row r="69" spans="1:22">
      <c r="A69" s="146" t="s">
        <v>29</v>
      </c>
      <c r="B69" s="111" t="s">
        <v>65</v>
      </c>
      <c r="C69" s="109">
        <v>0.2</v>
      </c>
      <c r="D69" s="142"/>
      <c r="E69" s="143"/>
      <c r="F69" s="110"/>
      <c r="G69" s="102">
        <f>IF(B69="","",COUNTIF(Losses!AI:AI,B69))</f>
        <v>0</v>
      </c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5"/>
    </row>
    <row r="70" spans="1:22">
      <c r="A70" s="146" t="s">
        <v>29</v>
      </c>
      <c r="B70" s="111" t="s">
        <v>66</v>
      </c>
      <c r="C70" s="109">
        <v>0.2</v>
      </c>
      <c r="D70" s="150">
        <v>1</v>
      </c>
      <c r="E70" s="151">
        <v>2500</v>
      </c>
      <c r="F70" s="110"/>
      <c r="G70" s="102">
        <f>IF(B70="","",COUNTIF(Losses!AI:AI,B70))</f>
        <v>0</v>
      </c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5"/>
    </row>
    <row r="71" spans="1:22">
      <c r="A71" s="146" t="s">
        <v>29</v>
      </c>
      <c r="B71" s="111" t="s">
        <v>67</v>
      </c>
      <c r="C71" s="109">
        <v>0.22</v>
      </c>
      <c r="D71" s="142"/>
      <c r="E71" s="143"/>
      <c r="F71" s="110"/>
      <c r="G71" s="102">
        <f>IF(B71="","",COUNTIF(Losses!AI:AI,B71))</f>
        <v>0</v>
      </c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5"/>
    </row>
    <row r="72" spans="1:22">
      <c r="A72" s="146" t="s">
        <v>29</v>
      </c>
      <c r="B72" s="111" t="s">
        <v>68</v>
      </c>
      <c r="C72" s="109">
        <v>0.45</v>
      </c>
      <c r="D72" s="142"/>
      <c r="E72" s="143"/>
      <c r="F72" s="110"/>
      <c r="G72" s="102">
        <f>IF(B72="","",COUNTIF(Losses!AI:AI,B72))</f>
        <v>0</v>
      </c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5"/>
    </row>
    <row r="73" spans="1:22">
      <c r="A73" s="146" t="s">
        <v>29</v>
      </c>
      <c r="B73" s="111" t="s">
        <v>843</v>
      </c>
      <c r="C73" s="109">
        <v>0.25</v>
      </c>
      <c r="D73" s="142">
        <v>1</v>
      </c>
      <c r="E73" s="143">
        <v>1500</v>
      </c>
      <c r="F73" s="110" t="s">
        <v>305</v>
      </c>
      <c r="G73" s="102">
        <f>IF(B73="","",COUNTIF(Losses!AI:AI,B73))</f>
        <v>0</v>
      </c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5"/>
    </row>
    <row r="74" spans="1:22">
      <c r="A74" s="146" t="s">
        <v>29</v>
      </c>
      <c r="B74" s="111" t="s">
        <v>69</v>
      </c>
      <c r="C74" s="109">
        <v>0.16</v>
      </c>
      <c r="D74" s="142"/>
      <c r="E74" s="143"/>
      <c r="F74" s="110"/>
      <c r="G74" s="102">
        <f>IF(B74="","",COUNTIF(Losses!AI:AI,B74))</f>
        <v>0</v>
      </c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5"/>
    </row>
    <row r="75" spans="1:22">
      <c r="A75" s="146" t="s">
        <v>29</v>
      </c>
      <c r="B75" s="111" t="s">
        <v>70</v>
      </c>
      <c r="C75" s="109">
        <v>0.25</v>
      </c>
      <c r="D75" s="142"/>
      <c r="E75" s="143"/>
      <c r="F75" s="110"/>
      <c r="G75" s="102">
        <f>IF(B75="","",COUNTIF(Losses!AI:AI,B75))</f>
        <v>0</v>
      </c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5"/>
    </row>
    <row r="76" spans="1:22">
      <c r="A76" s="146" t="s">
        <v>29</v>
      </c>
      <c r="B76" s="111" t="s">
        <v>71</v>
      </c>
      <c r="C76" s="109">
        <v>0.16</v>
      </c>
      <c r="D76" s="142"/>
      <c r="E76" s="143"/>
      <c r="F76" s="110"/>
      <c r="G76" s="102">
        <f>IF(B76="","",COUNTIF(Losses!AI:AI,B76))</f>
        <v>0</v>
      </c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5"/>
    </row>
    <row r="77" spans="1:22">
      <c r="A77" s="146" t="s">
        <v>29</v>
      </c>
      <c r="B77" s="111" t="s">
        <v>72</v>
      </c>
      <c r="C77" s="109">
        <v>0.16</v>
      </c>
      <c r="D77" s="142"/>
      <c r="E77" s="143"/>
      <c r="F77" s="110"/>
      <c r="G77" s="102">
        <f>IF(B77="","",COUNTIF(Losses!AI:AI,B77))</f>
        <v>0</v>
      </c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5"/>
    </row>
    <row r="78" spans="1:22">
      <c r="A78" s="146" t="s">
        <v>29</v>
      </c>
      <c r="B78" s="111" t="s">
        <v>73</v>
      </c>
      <c r="C78" s="109">
        <v>2.38</v>
      </c>
      <c r="D78" s="142"/>
      <c r="E78" s="143"/>
      <c r="F78" s="110"/>
      <c r="G78" s="102">
        <f>IF(B78="","",COUNTIF(Losses!AI:AI,B78))</f>
        <v>0</v>
      </c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5"/>
    </row>
    <row r="79" spans="1:22">
      <c r="A79" s="146" t="s">
        <v>29</v>
      </c>
      <c r="B79" s="111" t="s">
        <v>74</v>
      </c>
      <c r="C79" s="109">
        <v>0.35</v>
      </c>
      <c r="D79" s="142"/>
      <c r="E79" s="143"/>
      <c r="F79" s="110"/>
      <c r="G79" s="102">
        <f>IF(B79="","",COUNTIF(Losses!AI:AI,B79))</f>
        <v>0</v>
      </c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5"/>
    </row>
    <row r="80" spans="1:22">
      <c r="A80" s="146" t="s">
        <v>29</v>
      </c>
      <c r="B80" s="111" t="s">
        <v>847</v>
      </c>
      <c r="C80" s="112">
        <v>2.77</v>
      </c>
      <c r="D80" s="142"/>
      <c r="E80" s="143"/>
      <c r="F80" s="132"/>
      <c r="G80" s="102">
        <f>IF(B80="","",COUNTIF(Losses!AI:AI,B80))</f>
        <v>0</v>
      </c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5"/>
    </row>
    <row r="81" spans="1:22">
      <c r="A81" s="146" t="s">
        <v>29</v>
      </c>
      <c r="B81" s="111" t="s">
        <v>848</v>
      </c>
      <c r="C81" s="112">
        <v>0.2</v>
      </c>
      <c r="D81" s="142"/>
      <c r="E81" s="143"/>
      <c r="F81" s="132"/>
      <c r="G81" s="102">
        <f>IF(B81="","",COUNTIF(Losses!AI:AI,B81))</f>
        <v>0</v>
      </c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5"/>
    </row>
    <row r="82" spans="1:22">
      <c r="A82" s="146" t="s">
        <v>29</v>
      </c>
      <c r="B82" s="133"/>
      <c r="C82" s="131"/>
      <c r="D82" s="142"/>
      <c r="E82" s="143"/>
      <c r="F82" s="132"/>
      <c r="G82" s="102" t="str">
        <f>IF(B82="","",COUNTIF(Losses!AI:AI,B82))</f>
        <v/>
      </c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5"/>
    </row>
    <row r="83" spans="1:22">
      <c r="A83" s="146" t="s">
        <v>29</v>
      </c>
      <c r="B83" s="133"/>
      <c r="C83" s="131"/>
      <c r="D83" s="142"/>
      <c r="E83" s="143"/>
      <c r="F83" s="132"/>
      <c r="G83" s="102" t="str">
        <f>IF(B83="","",COUNTIF(Losses!AI:AI,B83))</f>
        <v/>
      </c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5"/>
    </row>
    <row r="84" spans="1:22">
      <c r="A84" s="146" t="s">
        <v>29</v>
      </c>
      <c r="B84" s="133"/>
      <c r="C84" s="131"/>
      <c r="D84" s="142"/>
      <c r="E84" s="143"/>
      <c r="F84" s="132"/>
      <c r="G84" s="102" t="str">
        <f>IF(B84="","",COUNTIF(Losses!AI:AI,B84))</f>
        <v/>
      </c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5"/>
    </row>
    <row r="85" spans="1:22">
      <c r="A85" s="147" t="s">
        <v>302</v>
      </c>
      <c r="B85" s="111" t="s">
        <v>79</v>
      </c>
      <c r="C85" s="112">
        <v>1.7</v>
      </c>
      <c r="D85" s="142">
        <v>1</v>
      </c>
      <c r="E85" s="143">
        <v>1500</v>
      </c>
      <c r="F85" s="110" t="s">
        <v>305</v>
      </c>
      <c r="G85" s="102">
        <f>IF(B85="","",COUNTIF(Losses!AI:AI,B85))</f>
        <v>0</v>
      </c>
    </row>
    <row r="86" spans="1:22">
      <c r="A86" s="147" t="s">
        <v>302</v>
      </c>
      <c r="B86" s="111" t="s">
        <v>79</v>
      </c>
      <c r="C86" s="112">
        <v>1.7</v>
      </c>
      <c r="D86" s="142">
        <v>1</v>
      </c>
      <c r="E86" s="143">
        <v>1500</v>
      </c>
      <c r="F86" s="110" t="s">
        <v>305</v>
      </c>
      <c r="G86" s="102">
        <f>IF(B86="","",COUNTIF(Losses!AI:AI,B86))</f>
        <v>0</v>
      </c>
    </row>
    <row r="87" spans="1:22">
      <c r="A87" s="147" t="s">
        <v>302</v>
      </c>
      <c r="B87" s="111" t="s">
        <v>81</v>
      </c>
      <c r="C87" s="112">
        <v>1</v>
      </c>
      <c r="D87" s="142">
        <v>1</v>
      </c>
      <c r="E87" s="143">
        <v>1500</v>
      </c>
      <c r="F87" s="110" t="s">
        <v>305</v>
      </c>
      <c r="G87" s="102">
        <f>IF(B87="","",COUNTIF(Losses!AI:AI,B87))</f>
        <v>0</v>
      </c>
    </row>
    <row r="88" spans="1:22">
      <c r="A88" s="147" t="s">
        <v>302</v>
      </c>
      <c r="B88" s="111" t="s">
        <v>80</v>
      </c>
      <c r="C88" s="112">
        <v>0.6</v>
      </c>
      <c r="D88" s="142">
        <v>1</v>
      </c>
      <c r="E88" s="143">
        <v>1500</v>
      </c>
      <c r="F88" s="110" t="s">
        <v>305</v>
      </c>
      <c r="G88" s="102">
        <f>IF(B88="","",COUNTIF(Losses!AI:AI,B88))</f>
        <v>0</v>
      </c>
    </row>
    <row r="89" spans="1:22">
      <c r="A89" s="147" t="s">
        <v>302</v>
      </c>
      <c r="B89" s="111" t="s">
        <v>82</v>
      </c>
      <c r="C89" s="112">
        <v>0.45</v>
      </c>
      <c r="D89" s="142">
        <v>1</v>
      </c>
      <c r="E89" s="143">
        <v>1500</v>
      </c>
      <c r="F89" s="110" t="s">
        <v>305</v>
      </c>
      <c r="G89" s="102">
        <f>IF(B89="","",COUNTIF(Losses!AI:AI,B89))</f>
        <v>0</v>
      </c>
    </row>
    <row r="90" spans="1:22">
      <c r="A90" s="147" t="s">
        <v>302</v>
      </c>
      <c r="B90" s="111" t="s">
        <v>84</v>
      </c>
      <c r="C90" s="112">
        <v>1.6</v>
      </c>
      <c r="D90" s="142">
        <v>1</v>
      </c>
      <c r="E90" s="143">
        <v>1500</v>
      </c>
      <c r="F90" s="110" t="s">
        <v>305</v>
      </c>
      <c r="G90" s="102">
        <f>IF(B90="","",COUNTIF(Losses!AI:AI,B90))</f>
        <v>0</v>
      </c>
    </row>
    <row r="91" spans="1:22">
      <c r="A91" s="147" t="s">
        <v>302</v>
      </c>
      <c r="B91" s="111" t="s">
        <v>83</v>
      </c>
      <c r="C91" s="112">
        <v>1.5</v>
      </c>
      <c r="D91" s="142">
        <v>1</v>
      </c>
      <c r="E91" s="143">
        <v>1500</v>
      </c>
      <c r="F91" s="110" t="s">
        <v>305</v>
      </c>
      <c r="G91" s="102">
        <f>IF(B91="","",COUNTIF(Losses!AI:AI,B91))</f>
        <v>0</v>
      </c>
    </row>
    <row r="92" spans="1:22">
      <c r="A92" s="147" t="s">
        <v>302</v>
      </c>
      <c r="B92" s="111" t="s">
        <v>85</v>
      </c>
      <c r="C92" s="112">
        <v>0.35</v>
      </c>
      <c r="D92" s="142">
        <v>1</v>
      </c>
      <c r="E92" s="143">
        <v>1500</v>
      </c>
      <c r="F92" s="110" t="s">
        <v>305</v>
      </c>
      <c r="G92" s="102">
        <f>IF(B92="","",COUNTIF(Losses!AI:AI,B92))</f>
        <v>0</v>
      </c>
    </row>
    <row r="93" spans="1:22">
      <c r="A93" s="147" t="s">
        <v>302</v>
      </c>
      <c r="B93" s="111" t="s">
        <v>154</v>
      </c>
      <c r="C93" s="112">
        <v>1.23</v>
      </c>
      <c r="D93" s="142">
        <v>0.84</v>
      </c>
      <c r="E93" s="143">
        <v>2200</v>
      </c>
      <c r="F93" s="110" t="s">
        <v>133</v>
      </c>
      <c r="G93" s="102">
        <f>IF(B93="","",COUNTIF(Losses!AI:AI,B93))</f>
        <v>0</v>
      </c>
    </row>
    <row r="94" spans="1:22">
      <c r="A94" s="147" t="s">
        <v>302</v>
      </c>
      <c r="B94" s="111" t="s">
        <v>159</v>
      </c>
      <c r="C94" s="112">
        <v>2.2999999999999998</v>
      </c>
      <c r="D94" s="142">
        <v>0.84</v>
      </c>
      <c r="E94" s="143">
        <v>1700</v>
      </c>
      <c r="F94" s="110" t="s">
        <v>133</v>
      </c>
      <c r="G94" s="102">
        <f>IF(B94="","",COUNTIF(Losses!AI:AI,B94))</f>
        <v>0</v>
      </c>
    </row>
    <row r="95" spans="1:22">
      <c r="A95" s="147" t="s">
        <v>302</v>
      </c>
      <c r="B95" s="111" t="s">
        <v>130</v>
      </c>
      <c r="C95" s="112">
        <v>0.27</v>
      </c>
      <c r="D95" s="142"/>
      <c r="E95" s="143"/>
      <c r="F95" s="110" t="s">
        <v>133</v>
      </c>
      <c r="G95" s="102">
        <f>IF(B95="","",COUNTIF(Losses!AI:AI,B95))</f>
        <v>0</v>
      </c>
    </row>
    <row r="96" spans="1:22">
      <c r="A96" s="147" t="s">
        <v>302</v>
      </c>
      <c r="B96" s="111" t="s">
        <v>129</v>
      </c>
      <c r="C96" s="112">
        <v>0.27</v>
      </c>
      <c r="D96" s="142"/>
      <c r="E96" s="143"/>
      <c r="F96" s="110" t="s">
        <v>133</v>
      </c>
      <c r="G96" s="102">
        <f>IF(B96="","",COUNTIF(Losses!AI:AI,B96))</f>
        <v>0</v>
      </c>
    </row>
    <row r="97" spans="1:7">
      <c r="A97" s="147" t="s">
        <v>302</v>
      </c>
      <c r="B97" s="111" t="s">
        <v>128</v>
      </c>
      <c r="C97" s="112">
        <v>0.25</v>
      </c>
      <c r="D97" s="142"/>
      <c r="E97" s="143"/>
      <c r="F97" s="110" t="s">
        <v>133</v>
      </c>
      <c r="G97" s="102">
        <f>IF(B97="","",COUNTIF(Losses!AI:AI,B97))</f>
        <v>0</v>
      </c>
    </row>
    <row r="98" spans="1:7">
      <c r="A98" s="147" t="s">
        <v>302</v>
      </c>
      <c r="B98" s="111" t="s">
        <v>152</v>
      </c>
      <c r="C98" s="112">
        <v>1.07</v>
      </c>
      <c r="D98" s="150">
        <v>0.9</v>
      </c>
      <c r="E98" s="151">
        <v>2000</v>
      </c>
      <c r="F98" s="110" t="s">
        <v>133</v>
      </c>
      <c r="G98" s="102">
        <f>IF(B98="","",COUNTIF(Losses!AI:AI,B98))</f>
        <v>0</v>
      </c>
    </row>
    <row r="99" spans="1:7">
      <c r="A99" s="147" t="s">
        <v>302</v>
      </c>
      <c r="B99" s="111" t="s">
        <v>162</v>
      </c>
      <c r="C99" s="112">
        <v>0.6</v>
      </c>
      <c r="D99" s="142"/>
      <c r="E99" s="143"/>
      <c r="F99" s="110" t="s">
        <v>108</v>
      </c>
      <c r="G99" s="102">
        <f>IF(B99="","",COUNTIF(Losses!AI:AI,B99))</f>
        <v>0</v>
      </c>
    </row>
    <row r="100" spans="1:7">
      <c r="A100" s="147" t="s">
        <v>302</v>
      </c>
      <c r="B100" s="111" t="s">
        <v>140</v>
      </c>
      <c r="C100" s="112">
        <v>0.44</v>
      </c>
      <c r="D100" s="142"/>
      <c r="E100" s="143"/>
      <c r="F100" s="110" t="s">
        <v>133</v>
      </c>
      <c r="G100" s="102">
        <f>IF(B100="","",COUNTIF(Losses!AI:AI,B100))</f>
        <v>0</v>
      </c>
    </row>
    <row r="101" spans="1:7">
      <c r="A101" s="147" t="s">
        <v>302</v>
      </c>
      <c r="B101" s="111" t="s">
        <v>140</v>
      </c>
      <c r="C101" s="112">
        <v>0.47</v>
      </c>
      <c r="D101" s="142"/>
      <c r="E101" s="143"/>
      <c r="F101" s="110" t="s">
        <v>133</v>
      </c>
      <c r="G101" s="102">
        <f>IF(B101="","",COUNTIF(Losses!AI:AI,B101))</f>
        <v>0</v>
      </c>
    </row>
    <row r="102" spans="1:7">
      <c r="A102" s="147" t="s">
        <v>302</v>
      </c>
      <c r="B102" s="111" t="s">
        <v>141</v>
      </c>
      <c r="C102" s="112">
        <v>0.44</v>
      </c>
      <c r="D102" s="142"/>
      <c r="E102" s="143"/>
      <c r="F102" s="110" t="s">
        <v>133</v>
      </c>
      <c r="G102" s="102">
        <f>IF(B102="","",COUNTIF(Losses!AI:AI,B102))</f>
        <v>0</v>
      </c>
    </row>
    <row r="103" spans="1:7">
      <c r="A103" s="147" t="s">
        <v>302</v>
      </c>
      <c r="B103" s="111" t="s">
        <v>166</v>
      </c>
      <c r="C103" s="112">
        <v>0.63</v>
      </c>
      <c r="D103" s="142"/>
      <c r="E103" s="143"/>
      <c r="F103" s="110"/>
      <c r="G103" s="102">
        <f>IF(B103="","",COUNTIF(Losses!AI:AI,B103))</f>
        <v>0</v>
      </c>
    </row>
    <row r="104" spans="1:7">
      <c r="A104" s="147" t="s">
        <v>302</v>
      </c>
      <c r="B104" s="111" t="s">
        <v>145</v>
      </c>
      <c r="C104" s="112">
        <v>0.51</v>
      </c>
      <c r="D104" s="142"/>
      <c r="E104" s="143"/>
      <c r="F104" s="110" t="s">
        <v>133</v>
      </c>
      <c r="G104" s="102">
        <f>IF(B104="","",COUNTIF(Losses!AI:AI,B104))</f>
        <v>0</v>
      </c>
    </row>
    <row r="105" spans="1:7">
      <c r="A105" s="147" t="s">
        <v>302</v>
      </c>
      <c r="B105" s="111" t="s">
        <v>137</v>
      </c>
      <c r="C105" s="112">
        <v>0.34</v>
      </c>
      <c r="D105" s="142"/>
      <c r="E105" s="143"/>
      <c r="F105" s="110" t="s">
        <v>133</v>
      </c>
      <c r="G105" s="102">
        <f>IF(B105="","",COUNTIF(Losses!AI:AI,B105))</f>
        <v>0</v>
      </c>
    </row>
    <row r="106" spans="1:7">
      <c r="A106" s="147" t="s">
        <v>302</v>
      </c>
      <c r="B106" s="111" t="s">
        <v>161</v>
      </c>
      <c r="C106" s="112">
        <v>1</v>
      </c>
      <c r="D106" s="142"/>
      <c r="E106" s="143"/>
      <c r="F106" s="110" t="s">
        <v>108</v>
      </c>
      <c r="G106" s="102">
        <f>IF(B106="","",COUNTIF(Losses!AI:AI,B106))</f>
        <v>0</v>
      </c>
    </row>
    <row r="107" spans="1:7">
      <c r="A107" s="147" t="s">
        <v>302</v>
      </c>
      <c r="B107" s="111" t="s">
        <v>167</v>
      </c>
      <c r="C107" s="112">
        <v>0.59</v>
      </c>
      <c r="D107" s="142"/>
      <c r="E107" s="143"/>
      <c r="F107" s="110"/>
      <c r="G107" s="102">
        <f>IF(B107="","",COUNTIF(Losses!AI:AI,B107))</f>
        <v>0</v>
      </c>
    </row>
    <row r="108" spans="1:7">
      <c r="A108" s="147" t="s">
        <v>302</v>
      </c>
      <c r="B108" s="111" t="s">
        <v>143</v>
      </c>
      <c r="C108" s="112">
        <v>0.47</v>
      </c>
      <c r="D108" s="142"/>
      <c r="E108" s="143"/>
      <c r="F108" s="110" t="s">
        <v>133</v>
      </c>
      <c r="G108" s="102">
        <f>IF(B108="","",COUNTIF(Losses!AI:AI,B108))</f>
        <v>0</v>
      </c>
    </row>
    <row r="109" spans="1:7">
      <c r="A109" s="147" t="s">
        <v>302</v>
      </c>
      <c r="B109" s="111" t="s">
        <v>138</v>
      </c>
      <c r="C109" s="112">
        <v>0.34</v>
      </c>
      <c r="D109" s="142"/>
      <c r="E109" s="143"/>
      <c r="F109" s="110" t="s">
        <v>133</v>
      </c>
      <c r="G109" s="102">
        <f>IF(B109="","",COUNTIF(Losses!AI:AI,B109))</f>
        <v>0</v>
      </c>
    </row>
    <row r="110" spans="1:7">
      <c r="A110" s="147" t="s">
        <v>302</v>
      </c>
      <c r="B110" s="113" t="s">
        <v>601</v>
      </c>
      <c r="C110" s="114">
        <v>0.21</v>
      </c>
      <c r="D110" s="144"/>
      <c r="E110" s="145"/>
      <c r="F110" s="115" t="s">
        <v>274</v>
      </c>
      <c r="G110" s="102">
        <f>IF(B110="","",COUNTIF(Losses!AI:AI,B110))</f>
        <v>0</v>
      </c>
    </row>
    <row r="111" spans="1:7">
      <c r="A111" s="147" t="s">
        <v>302</v>
      </c>
      <c r="B111" s="111" t="s">
        <v>142</v>
      </c>
      <c r="C111" s="112">
        <v>0.47</v>
      </c>
      <c r="D111" s="142"/>
      <c r="E111" s="143"/>
      <c r="F111" s="110" t="s">
        <v>133</v>
      </c>
      <c r="G111" s="102">
        <f>IF(B111="","",COUNTIF(Losses!AI:AI,B111))</f>
        <v>0</v>
      </c>
    </row>
    <row r="112" spans="1:7">
      <c r="A112" s="147" t="s">
        <v>302</v>
      </c>
      <c r="B112" s="111" t="s">
        <v>142</v>
      </c>
      <c r="C112" s="112">
        <v>0.56999999999999995</v>
      </c>
      <c r="D112" s="142"/>
      <c r="E112" s="143"/>
      <c r="F112" s="110" t="s">
        <v>133</v>
      </c>
      <c r="G112" s="102">
        <f>IF(B112="","",COUNTIF(Losses!AI:AI,B112))</f>
        <v>0</v>
      </c>
    </row>
    <row r="113" spans="1:7">
      <c r="A113" s="147" t="s">
        <v>302</v>
      </c>
      <c r="B113" s="111" t="s">
        <v>163</v>
      </c>
      <c r="C113" s="112">
        <v>1.41</v>
      </c>
      <c r="D113" s="142"/>
      <c r="E113" s="143"/>
      <c r="F113" s="110"/>
      <c r="G113" s="102">
        <f>IF(B113="","",COUNTIF(Losses!AI:AI,B113))</f>
        <v>0</v>
      </c>
    </row>
    <row r="114" spans="1:7">
      <c r="A114" s="147" t="s">
        <v>302</v>
      </c>
      <c r="B114" s="111" t="s">
        <v>149</v>
      </c>
      <c r="C114" s="112">
        <v>0.96</v>
      </c>
      <c r="D114" s="142"/>
      <c r="E114" s="143"/>
      <c r="F114" s="110" t="s">
        <v>133</v>
      </c>
      <c r="G114" s="102">
        <f>IF(B114="","",COUNTIF(Losses!AI:AI,B114))</f>
        <v>0</v>
      </c>
    </row>
    <row r="115" spans="1:7">
      <c r="A115" s="147" t="s">
        <v>302</v>
      </c>
      <c r="B115" s="111" t="s">
        <v>165</v>
      </c>
      <c r="C115" s="112">
        <v>1.44</v>
      </c>
      <c r="D115" s="142"/>
      <c r="E115" s="143"/>
      <c r="F115" s="110"/>
      <c r="G115" s="102">
        <f>IF(B115="","",COUNTIF(Losses!AI:AI,B115))</f>
        <v>0</v>
      </c>
    </row>
    <row r="116" spans="1:7">
      <c r="A116" s="147" t="s">
        <v>302</v>
      </c>
      <c r="B116" s="111" t="s">
        <v>155</v>
      </c>
      <c r="C116" s="112">
        <v>1.43</v>
      </c>
      <c r="D116" s="142"/>
      <c r="E116" s="143"/>
      <c r="F116" s="110" t="s">
        <v>133</v>
      </c>
      <c r="G116" s="102">
        <f>IF(B116="","",COUNTIF(Losses!AI:AI,B116))</f>
        <v>0</v>
      </c>
    </row>
    <row r="117" spans="1:7">
      <c r="A117" s="147" t="s">
        <v>302</v>
      </c>
      <c r="B117" s="111" t="s">
        <v>127</v>
      </c>
      <c r="C117" s="112">
        <v>0.21</v>
      </c>
      <c r="D117" s="142"/>
      <c r="E117" s="143"/>
      <c r="F117" s="110" t="s">
        <v>133</v>
      </c>
      <c r="G117" s="102">
        <f>IF(B117="","",COUNTIF(Losses!AI:AI,B117))</f>
        <v>0</v>
      </c>
    </row>
    <row r="118" spans="1:7">
      <c r="A118" s="147" t="s">
        <v>302</v>
      </c>
      <c r="B118" s="111" t="s">
        <v>132</v>
      </c>
      <c r="C118" s="112">
        <v>0.28999999999999998</v>
      </c>
      <c r="D118" s="142"/>
      <c r="E118" s="143"/>
      <c r="F118" s="110" t="s">
        <v>133</v>
      </c>
      <c r="G118" s="102">
        <f>IF(B118="","",COUNTIF(Losses!AI:AI,B118))</f>
        <v>0</v>
      </c>
    </row>
    <row r="119" spans="1:7">
      <c r="A119" s="147" t="s">
        <v>302</v>
      </c>
      <c r="B119" s="111" t="s">
        <v>131</v>
      </c>
      <c r="C119" s="112">
        <v>0.28000000000000003</v>
      </c>
      <c r="D119" s="142"/>
      <c r="E119" s="143"/>
      <c r="F119" s="110" t="s">
        <v>133</v>
      </c>
      <c r="G119" s="102">
        <f>IF(B119="","",COUNTIF(Losses!AI:AI,B119))</f>
        <v>0</v>
      </c>
    </row>
    <row r="120" spans="1:7">
      <c r="A120" s="147" t="s">
        <v>302</v>
      </c>
      <c r="B120" s="111" t="s">
        <v>153</v>
      </c>
      <c r="C120" s="112">
        <v>1.1399999999999999</v>
      </c>
      <c r="D120" s="142"/>
      <c r="E120" s="143"/>
      <c r="F120" s="110" t="s">
        <v>133</v>
      </c>
      <c r="G120" s="102">
        <f>IF(B120="","",COUNTIF(Losses!AI:AI,B120))</f>
        <v>0</v>
      </c>
    </row>
    <row r="121" spans="1:7">
      <c r="A121" s="147" t="s">
        <v>302</v>
      </c>
      <c r="B121" s="111" t="s">
        <v>158</v>
      </c>
      <c r="C121" s="112">
        <v>2.09</v>
      </c>
      <c r="D121" s="142"/>
      <c r="E121" s="143"/>
      <c r="F121" s="110"/>
      <c r="G121" s="102">
        <f>IF(B121="","",COUNTIF(Losses!AI:AI,B121))</f>
        <v>0</v>
      </c>
    </row>
    <row r="122" spans="1:7">
      <c r="A122" s="147" t="s">
        <v>302</v>
      </c>
      <c r="B122" s="111" t="s">
        <v>150</v>
      </c>
      <c r="C122" s="112">
        <v>0.78</v>
      </c>
      <c r="D122" s="142"/>
      <c r="E122" s="143"/>
      <c r="F122" s="110" t="s">
        <v>133</v>
      </c>
      <c r="G122" s="102">
        <f>IF(B122="","",COUNTIF(Losses!AI:AI,B122))</f>
        <v>0</v>
      </c>
    </row>
    <row r="123" spans="1:7">
      <c r="A123" s="147" t="s">
        <v>302</v>
      </c>
      <c r="B123" s="111" t="s">
        <v>151</v>
      </c>
      <c r="C123" s="112">
        <v>0.95</v>
      </c>
      <c r="D123" s="142"/>
      <c r="E123" s="143"/>
      <c r="F123" s="110" t="s">
        <v>133</v>
      </c>
      <c r="G123" s="102">
        <f>IF(B123="","",COUNTIF(Losses!AI:AI,B123))</f>
        <v>0</v>
      </c>
    </row>
    <row r="124" spans="1:7">
      <c r="A124" s="147" t="s">
        <v>302</v>
      </c>
      <c r="B124" s="111" t="s">
        <v>147</v>
      </c>
      <c r="C124" s="112">
        <v>0.55000000000000004</v>
      </c>
      <c r="D124" s="142"/>
      <c r="E124" s="143"/>
      <c r="F124" s="110" t="s">
        <v>133</v>
      </c>
      <c r="G124" s="102">
        <f>IF(B124="","",COUNTIF(Losses!AI:AI,B124))</f>
        <v>0</v>
      </c>
    </row>
    <row r="125" spans="1:7">
      <c r="A125" s="147" t="s">
        <v>302</v>
      </c>
      <c r="B125" s="111" t="s">
        <v>135</v>
      </c>
      <c r="C125" s="112">
        <v>0.3</v>
      </c>
      <c r="D125" s="142"/>
      <c r="E125" s="143"/>
      <c r="F125" s="110" t="s">
        <v>133</v>
      </c>
      <c r="G125" s="102">
        <f>IF(B125="","",COUNTIF(Losses!AI:AI,B125))</f>
        <v>0</v>
      </c>
    </row>
    <row r="126" spans="1:7">
      <c r="A126" s="147" t="s">
        <v>302</v>
      </c>
      <c r="B126" s="111" t="s">
        <v>139</v>
      </c>
      <c r="C126" s="112">
        <v>0.35</v>
      </c>
      <c r="D126" s="142"/>
      <c r="E126" s="143"/>
      <c r="F126" s="110" t="s">
        <v>133</v>
      </c>
      <c r="G126" s="102">
        <f>IF(B126="","",COUNTIF(Losses!AI:AI,B126))</f>
        <v>0</v>
      </c>
    </row>
    <row r="127" spans="1:7">
      <c r="A127" s="147" t="s">
        <v>302</v>
      </c>
      <c r="B127" s="111" t="s">
        <v>136</v>
      </c>
      <c r="C127" s="112">
        <v>0.33</v>
      </c>
      <c r="D127" s="142"/>
      <c r="E127" s="143"/>
      <c r="F127" s="110" t="s">
        <v>133</v>
      </c>
      <c r="G127" s="102">
        <f>IF(B127="","",COUNTIF(Losses!AI:AI,B127))</f>
        <v>0</v>
      </c>
    </row>
    <row r="128" spans="1:7">
      <c r="A128" s="147" t="s">
        <v>302</v>
      </c>
      <c r="B128" s="111" t="s">
        <v>134</v>
      </c>
      <c r="C128" s="112">
        <v>0.3</v>
      </c>
      <c r="D128" s="142"/>
      <c r="E128" s="143"/>
      <c r="F128" s="110" t="s">
        <v>133</v>
      </c>
      <c r="G128" s="102">
        <f>IF(B128="","",COUNTIF(Losses!AI:AI,B128))</f>
        <v>0</v>
      </c>
    </row>
    <row r="129" spans="1:7">
      <c r="A129" s="147" t="s">
        <v>302</v>
      </c>
      <c r="B129" s="111" t="s">
        <v>144</v>
      </c>
      <c r="C129" s="112">
        <v>0.49</v>
      </c>
      <c r="D129" s="142"/>
      <c r="E129" s="143"/>
      <c r="F129" s="110" t="s">
        <v>133</v>
      </c>
      <c r="G129" s="102">
        <f>IF(B129="","",COUNTIF(Losses!AI:AI,B129))</f>
        <v>0</v>
      </c>
    </row>
    <row r="130" spans="1:7">
      <c r="A130" s="147" t="s">
        <v>302</v>
      </c>
      <c r="B130" s="111" t="s">
        <v>148</v>
      </c>
      <c r="C130" s="112">
        <v>0.56000000000000005</v>
      </c>
      <c r="D130" s="142"/>
      <c r="E130" s="143"/>
      <c r="F130" s="110" t="s">
        <v>133</v>
      </c>
      <c r="G130" s="102">
        <f>IF(B130="","",COUNTIF(Losses!AI:AI,B130))</f>
        <v>0</v>
      </c>
    </row>
    <row r="131" spans="1:7">
      <c r="A131" s="147" t="s">
        <v>302</v>
      </c>
      <c r="B131" s="111" t="s">
        <v>164</v>
      </c>
      <c r="C131" s="112">
        <v>0.7</v>
      </c>
      <c r="D131" s="142"/>
      <c r="E131" s="143"/>
      <c r="F131" s="110" t="s">
        <v>133</v>
      </c>
      <c r="G131" s="102">
        <f>IF(B131="","",COUNTIF(Losses!AI:AI,B131))</f>
        <v>0</v>
      </c>
    </row>
    <row r="132" spans="1:7">
      <c r="A132" s="147" t="s">
        <v>302</v>
      </c>
      <c r="B132" s="111" t="s">
        <v>160</v>
      </c>
      <c r="C132" s="112">
        <v>3.02</v>
      </c>
      <c r="D132" s="142"/>
      <c r="E132" s="143"/>
      <c r="F132" s="110"/>
      <c r="G132" s="102">
        <f>IF(B132="","",COUNTIF(Losses!AI:AI,B132))</f>
        <v>0</v>
      </c>
    </row>
    <row r="133" spans="1:7">
      <c r="A133" s="147" t="s">
        <v>302</v>
      </c>
      <c r="B133" s="111" t="s">
        <v>157</v>
      </c>
      <c r="C133" s="112">
        <v>1.78</v>
      </c>
      <c r="D133" s="142"/>
      <c r="E133" s="143"/>
      <c r="F133" s="110"/>
      <c r="G133" s="102">
        <f>IF(B133="","",COUNTIF(Losses!AI:AI,B133))</f>
        <v>0</v>
      </c>
    </row>
    <row r="134" spans="1:7">
      <c r="A134" s="147" t="s">
        <v>302</v>
      </c>
      <c r="B134" s="111" t="s">
        <v>146</v>
      </c>
      <c r="C134" s="112">
        <v>0.52</v>
      </c>
      <c r="D134" s="142"/>
      <c r="E134" s="143"/>
      <c r="F134" s="110" t="s">
        <v>133</v>
      </c>
      <c r="G134" s="102">
        <f>IF(B134="","",COUNTIF(Losses!AI:AI,B134))</f>
        <v>0</v>
      </c>
    </row>
    <row r="135" spans="1:7">
      <c r="A135" s="147" t="s">
        <v>302</v>
      </c>
      <c r="B135" s="111" t="s">
        <v>156</v>
      </c>
      <c r="C135" s="112">
        <v>1.5</v>
      </c>
      <c r="D135" s="142"/>
      <c r="E135" s="143"/>
      <c r="F135" s="110" t="s">
        <v>133</v>
      </c>
      <c r="G135" s="102">
        <f>IF(B135="","",COUNTIF(Losses!AI:AI,B135))</f>
        <v>0</v>
      </c>
    </row>
    <row r="136" spans="1:7">
      <c r="A136" s="147" t="s">
        <v>302</v>
      </c>
      <c r="B136" s="111" t="s">
        <v>11</v>
      </c>
      <c r="C136" s="112">
        <v>0.45</v>
      </c>
      <c r="D136" s="142"/>
      <c r="E136" s="143"/>
      <c r="F136" s="110" t="s">
        <v>133</v>
      </c>
      <c r="G136" s="102">
        <f>IF(B136="","",COUNTIF(Losses!AI:AI,B136))</f>
        <v>0</v>
      </c>
    </row>
    <row r="137" spans="1:7">
      <c r="A137" s="147" t="s">
        <v>302</v>
      </c>
      <c r="B137" s="111" t="s">
        <v>798</v>
      </c>
      <c r="C137" s="112">
        <v>0.16</v>
      </c>
      <c r="D137" s="142">
        <v>1</v>
      </c>
      <c r="E137" s="143">
        <v>1500</v>
      </c>
      <c r="F137" s="110" t="s">
        <v>305</v>
      </c>
      <c r="G137" s="102">
        <f>IF(B137="","",COUNTIF(Losses!AI:AI,B137))</f>
        <v>0</v>
      </c>
    </row>
    <row r="138" spans="1:7">
      <c r="A138" s="147" t="s">
        <v>302</v>
      </c>
      <c r="B138" s="111" t="s">
        <v>839</v>
      </c>
      <c r="C138" s="112">
        <v>0.35</v>
      </c>
      <c r="D138" s="142">
        <v>1</v>
      </c>
      <c r="E138" s="143">
        <v>1500</v>
      </c>
      <c r="F138" s="110" t="s">
        <v>305</v>
      </c>
      <c r="G138" s="102">
        <f>IF(B138="","",COUNTIF(Losses!AI:AI,B138))</f>
        <v>0</v>
      </c>
    </row>
    <row r="139" spans="1:7">
      <c r="A139" s="147" t="s">
        <v>302</v>
      </c>
      <c r="B139" s="111" t="s">
        <v>846</v>
      </c>
      <c r="C139" s="112">
        <v>1</v>
      </c>
      <c r="D139" s="142"/>
      <c r="E139" s="143"/>
      <c r="F139" s="110"/>
      <c r="G139" s="102">
        <f>IF(B139="","",COUNTIF(Losses!AI:AI,B139))</f>
        <v>0</v>
      </c>
    </row>
    <row r="140" spans="1:7">
      <c r="A140" s="147" t="s">
        <v>302</v>
      </c>
      <c r="B140" s="111"/>
      <c r="D140" s="142"/>
      <c r="E140" s="143"/>
      <c r="F140" s="110"/>
      <c r="G140" s="102">
        <f>IF(B80="","",COUNTIF(Losses!AI:AI,B80))</f>
        <v>0</v>
      </c>
    </row>
    <row r="141" spans="1:7">
      <c r="A141" s="147" t="s">
        <v>302</v>
      </c>
      <c r="B141" s="111"/>
      <c r="C141" s="112"/>
      <c r="D141" s="142"/>
      <c r="E141" s="143"/>
      <c r="F141" s="110"/>
      <c r="G141" s="102" t="str">
        <f>IF(B141="","",COUNTIF(Losses!AI:AI,B141))</f>
        <v/>
      </c>
    </row>
    <row r="142" spans="1:7">
      <c r="A142" s="147" t="s">
        <v>302</v>
      </c>
      <c r="B142" s="111"/>
      <c r="C142" s="112"/>
      <c r="D142" s="142"/>
      <c r="E142" s="143"/>
      <c r="F142" s="110"/>
      <c r="G142" s="102" t="str">
        <f>IF(B142="","",COUNTIF(Losses!AI:AI,B142))</f>
        <v/>
      </c>
    </row>
    <row r="143" spans="1:7">
      <c r="A143" s="147" t="s">
        <v>302</v>
      </c>
      <c r="B143" s="111"/>
      <c r="C143" s="112"/>
      <c r="D143" s="142"/>
      <c r="E143" s="143"/>
      <c r="F143" s="110"/>
      <c r="G143" s="102" t="str">
        <f>IF(B143="","",COUNTIF(Losses!AI:AI,B143))</f>
        <v/>
      </c>
    </row>
    <row r="144" spans="1:7">
      <c r="A144" s="147" t="s">
        <v>302</v>
      </c>
      <c r="B144" s="111"/>
      <c r="C144" s="112"/>
      <c r="D144" s="142"/>
      <c r="E144" s="143"/>
      <c r="F144" s="110"/>
      <c r="G144" s="102" t="str">
        <f>IF(B144="","",COUNTIF(Losses!AI:AI,B144))</f>
        <v/>
      </c>
    </row>
    <row r="145" spans="1:7">
      <c r="A145" s="147" t="s">
        <v>302</v>
      </c>
      <c r="B145" s="111"/>
      <c r="C145" s="112"/>
      <c r="D145" s="142"/>
      <c r="E145" s="143"/>
      <c r="F145" s="110"/>
      <c r="G145" s="102" t="str">
        <f>IF(B145="","",COUNTIF(Losses!AI:AI,B145))</f>
        <v/>
      </c>
    </row>
    <row r="146" spans="1:7">
      <c r="A146" s="147" t="s">
        <v>302</v>
      </c>
      <c r="B146" s="111"/>
      <c r="C146" s="112"/>
      <c r="D146" s="142"/>
      <c r="E146" s="143"/>
      <c r="F146" s="110"/>
      <c r="G146" s="102" t="str">
        <f>IF(B146="","",COUNTIF(Losses!AI:AI,B146))</f>
        <v/>
      </c>
    </row>
    <row r="147" spans="1:7">
      <c r="A147" s="147"/>
      <c r="B147" s="111"/>
      <c r="C147" s="112"/>
      <c r="D147" s="142"/>
      <c r="E147" s="143"/>
      <c r="F147" s="110"/>
      <c r="G147" s="102" t="str">
        <f>IF(B147="","",COUNTIF(Losses!AI:AI,B147))</f>
        <v/>
      </c>
    </row>
    <row r="148" spans="1:7">
      <c r="A148" s="147"/>
      <c r="B148" s="111"/>
      <c r="C148" s="112"/>
      <c r="D148" s="142"/>
      <c r="E148" s="143"/>
      <c r="F148" s="110"/>
      <c r="G148" s="102" t="str">
        <f>IF(B148="","",COUNTIF(Losses!AI:AI,B148))</f>
        <v/>
      </c>
    </row>
    <row r="149" spans="1:7">
      <c r="D149" s="138"/>
      <c r="E149" s="139"/>
    </row>
  </sheetData>
  <sortState ref="A2:F161">
    <sortCondition ref="A2:A161"/>
    <sortCondition ref="B2:B161"/>
  </sortState>
  <mergeCells count="4">
    <mergeCell ref="H2:H3"/>
    <mergeCell ref="I2:I3"/>
    <mergeCell ref="J2:J3"/>
    <mergeCell ref="K2:K3"/>
  </mergeCells>
  <conditionalFormatting sqref="G1:G1048576">
    <cfRule type="cellIs" dxfId="8" priority="1" operator="equal">
      <formula>""""""</formula>
    </cfRule>
    <cfRule type="cellIs" dxfId="7" priority="2" operator="greaterThan">
      <formula>0.1</formula>
    </cfRule>
  </conditionalFormatting>
  <pageMargins left="0.70866141732283472" right="0.70866141732283472" top="0.74803149606299213" bottom="0.74803149606299213" header="0.31496062992125984" footer="0.31496062992125984"/>
  <pageSetup paperSize="9" scale="25" orientation="landscape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O468"/>
  <sheetViews>
    <sheetView topLeftCell="A381" workbookViewId="0">
      <selection activeCell="A440" sqref="A440"/>
    </sheetView>
  </sheetViews>
  <sheetFormatPr baseColWidth="10" defaultColWidth="8.83203125" defaultRowHeight="12"/>
  <cols>
    <col min="1" max="1" width="24" style="277" bestFit="1" customWidth="1"/>
    <col min="2" max="2" width="13.5" style="309" bestFit="1" customWidth="1"/>
    <col min="3" max="3" width="13.6640625" style="312" customWidth="1"/>
    <col min="4" max="4" width="14.5" style="289" bestFit="1" customWidth="1"/>
    <col min="5" max="5" width="20.33203125" style="288" customWidth="1"/>
    <col min="6" max="6" width="25.6640625" style="284" bestFit="1" customWidth="1"/>
    <col min="7" max="7" width="13" style="282" bestFit="1" customWidth="1"/>
    <col min="8" max="10" width="8.83203125" style="277"/>
    <col min="11" max="11" width="21.83203125" style="277" customWidth="1"/>
    <col min="12" max="14" width="21.83203125" style="297" customWidth="1"/>
    <col min="15" max="15" width="21.83203125" style="277" customWidth="1"/>
    <col min="16" max="16384" width="8.83203125" style="277"/>
  </cols>
  <sheetData>
    <row r="1" spans="1:14" s="271" customFormat="1" ht="26">
      <c r="A1" s="266" t="s">
        <v>238</v>
      </c>
      <c r="B1" s="307" t="s">
        <v>171</v>
      </c>
      <c r="C1" s="310" t="s">
        <v>172</v>
      </c>
      <c r="D1" s="267" t="s">
        <v>173</v>
      </c>
      <c r="E1" s="268"/>
      <c r="F1" s="269" t="s">
        <v>240</v>
      </c>
      <c r="G1" s="270" t="s">
        <v>241</v>
      </c>
      <c r="L1" s="296"/>
      <c r="M1" s="296"/>
      <c r="N1" s="296"/>
    </row>
    <row r="2" spans="1:14" ht="13">
      <c r="A2" s="272" t="s">
        <v>460</v>
      </c>
      <c r="B2" s="308"/>
      <c r="C2" s="311"/>
      <c r="D2" s="273"/>
      <c r="E2" s="274" t="str">
        <f t="shared" ref="E2:E65" si="0">IF(A2=A3,"#","")</f>
        <v/>
      </c>
      <c r="F2" s="275" t="s">
        <v>247</v>
      </c>
      <c r="G2" s="276">
        <v>0.5</v>
      </c>
    </row>
    <row r="3" spans="1:14" ht="13">
      <c r="A3" s="272" t="s">
        <v>461</v>
      </c>
      <c r="B3" s="308"/>
      <c r="C3" s="311">
        <v>1420</v>
      </c>
      <c r="D3" s="273"/>
      <c r="E3" s="274" t="str">
        <f t="shared" si="0"/>
        <v/>
      </c>
      <c r="F3" s="275" t="s">
        <v>246</v>
      </c>
      <c r="G3" s="276">
        <v>0.19</v>
      </c>
    </row>
    <row r="4" spans="1:14" ht="13">
      <c r="A4" s="272" t="s">
        <v>462</v>
      </c>
      <c r="B4" s="308"/>
      <c r="C4" s="311"/>
      <c r="D4" s="273"/>
      <c r="E4" s="274" t="str">
        <f t="shared" si="0"/>
        <v/>
      </c>
      <c r="F4" s="275" t="s">
        <v>243</v>
      </c>
      <c r="G4" s="276">
        <v>0.44</v>
      </c>
    </row>
    <row r="5" spans="1:14" ht="13">
      <c r="A5" s="272" t="s">
        <v>306</v>
      </c>
      <c r="B5" s="308">
        <v>0.8</v>
      </c>
      <c r="C5" s="311">
        <v>2600</v>
      </c>
      <c r="D5" s="273"/>
      <c r="E5" s="274" t="str">
        <f t="shared" si="0"/>
        <v/>
      </c>
      <c r="F5" s="275" t="s">
        <v>242</v>
      </c>
      <c r="G5" s="276">
        <v>0.18</v>
      </c>
    </row>
    <row r="6" spans="1:14" ht="13">
      <c r="A6" s="302" t="s">
        <v>783</v>
      </c>
      <c r="B6" s="308">
        <v>2.3E-2</v>
      </c>
      <c r="C6" s="311">
        <v>1.2</v>
      </c>
      <c r="D6" s="273"/>
      <c r="E6" s="274" t="str">
        <f t="shared" si="0"/>
        <v/>
      </c>
      <c r="F6" s="275" t="s">
        <v>245</v>
      </c>
      <c r="G6" s="276">
        <v>0.34</v>
      </c>
    </row>
    <row r="7" spans="1:14" ht="13">
      <c r="A7" s="275" t="s">
        <v>608</v>
      </c>
      <c r="B7" s="308"/>
      <c r="C7" s="311"/>
      <c r="D7" s="278"/>
      <c r="E7" s="274" t="str">
        <f t="shared" si="0"/>
        <v/>
      </c>
      <c r="F7" s="275" t="s">
        <v>244</v>
      </c>
      <c r="G7" s="276">
        <v>0.16</v>
      </c>
    </row>
    <row r="8" spans="1:14" ht="13">
      <c r="A8" s="275" t="s">
        <v>609</v>
      </c>
      <c r="B8" s="308"/>
      <c r="C8" s="311"/>
      <c r="D8" s="278"/>
      <c r="E8" s="274" t="str">
        <f t="shared" si="0"/>
        <v/>
      </c>
      <c r="F8" s="275" t="s">
        <v>248</v>
      </c>
      <c r="G8" s="276">
        <v>0.15</v>
      </c>
    </row>
    <row r="9" spans="1:14" ht="13">
      <c r="A9" s="275" t="s">
        <v>610</v>
      </c>
      <c r="B9" s="308"/>
      <c r="C9" s="311"/>
      <c r="D9" s="278"/>
      <c r="E9" s="274" t="str">
        <f t="shared" si="0"/>
        <v/>
      </c>
      <c r="F9" s="275" t="s">
        <v>249</v>
      </c>
      <c r="G9" s="276">
        <v>0.18</v>
      </c>
    </row>
    <row r="10" spans="1:14" ht="13">
      <c r="A10" s="275" t="s">
        <v>611</v>
      </c>
      <c r="B10" s="308"/>
      <c r="C10" s="311"/>
      <c r="D10" s="278"/>
      <c r="E10" s="274" t="str">
        <f t="shared" si="0"/>
        <v/>
      </c>
      <c r="F10" s="275" t="s">
        <v>250</v>
      </c>
      <c r="G10" s="276">
        <v>0.06</v>
      </c>
    </row>
    <row r="11" spans="1:14" ht="13">
      <c r="A11" s="275" t="s">
        <v>612</v>
      </c>
      <c r="B11" s="308"/>
      <c r="C11" s="311"/>
      <c r="D11" s="278"/>
      <c r="E11" s="274" t="str">
        <f t="shared" si="0"/>
        <v/>
      </c>
      <c r="F11" s="275" t="s">
        <v>251</v>
      </c>
      <c r="G11" s="276">
        <v>0.2</v>
      </c>
    </row>
    <row r="12" spans="1:14" ht="13">
      <c r="A12" s="272" t="s">
        <v>463</v>
      </c>
      <c r="B12" s="308"/>
      <c r="C12" s="311" t="s">
        <v>637</v>
      </c>
      <c r="D12" s="273"/>
      <c r="E12" s="274" t="str">
        <f t="shared" si="0"/>
        <v/>
      </c>
      <c r="F12" s="275" t="s">
        <v>290</v>
      </c>
      <c r="G12" s="276">
        <v>0.17</v>
      </c>
    </row>
    <row r="13" spans="1:14" ht="13">
      <c r="A13" s="272" t="s">
        <v>464</v>
      </c>
      <c r="B13" s="308"/>
      <c r="C13" s="311">
        <v>2300</v>
      </c>
      <c r="D13" s="273"/>
      <c r="E13" s="274" t="str">
        <f t="shared" si="0"/>
        <v/>
      </c>
      <c r="F13" s="275" t="s">
        <v>256</v>
      </c>
      <c r="G13" s="276">
        <v>0.1</v>
      </c>
    </row>
    <row r="14" spans="1:14" ht="13">
      <c r="A14" s="272" t="s">
        <v>468</v>
      </c>
      <c r="B14" s="308"/>
      <c r="C14" s="311" t="s">
        <v>638</v>
      </c>
      <c r="D14" s="273"/>
      <c r="E14" s="274" t="str">
        <f t="shared" si="0"/>
        <v/>
      </c>
      <c r="F14" s="275" t="s">
        <v>255</v>
      </c>
      <c r="G14" s="276">
        <v>0.13</v>
      </c>
    </row>
    <row r="15" spans="1:14" ht="13">
      <c r="A15" s="272" t="s">
        <v>465</v>
      </c>
      <c r="B15" s="308"/>
      <c r="C15" s="311">
        <v>881</v>
      </c>
      <c r="D15" s="273"/>
      <c r="E15" s="274" t="str">
        <f t="shared" si="0"/>
        <v/>
      </c>
      <c r="F15" s="275" t="s">
        <v>291</v>
      </c>
      <c r="G15" s="276">
        <v>0.02</v>
      </c>
    </row>
    <row r="16" spans="1:14" ht="13">
      <c r="A16" s="272" t="s">
        <v>466</v>
      </c>
      <c r="B16" s="308"/>
      <c r="C16" s="311">
        <v>752</v>
      </c>
      <c r="D16" s="273"/>
      <c r="E16" s="274" t="str">
        <f t="shared" si="0"/>
        <v/>
      </c>
      <c r="F16" s="275" t="s">
        <v>254</v>
      </c>
      <c r="G16" s="276">
        <v>0.04</v>
      </c>
    </row>
    <row r="17" spans="1:7" ht="13">
      <c r="A17" s="272" t="s">
        <v>467</v>
      </c>
      <c r="B17" s="308"/>
      <c r="C17" s="311" t="s">
        <v>639</v>
      </c>
      <c r="D17" s="273"/>
      <c r="E17" s="274" t="str">
        <f t="shared" si="0"/>
        <v/>
      </c>
      <c r="F17" s="275" t="s">
        <v>253</v>
      </c>
      <c r="G17" s="276">
        <v>0.06</v>
      </c>
    </row>
    <row r="18" spans="1:7" ht="13">
      <c r="A18" s="279" t="s">
        <v>174</v>
      </c>
      <c r="B18" s="308">
        <v>230</v>
      </c>
      <c r="C18" s="311">
        <v>2700</v>
      </c>
      <c r="D18" s="280">
        <v>880</v>
      </c>
      <c r="E18" s="274" t="str">
        <f t="shared" si="0"/>
        <v/>
      </c>
      <c r="F18" s="277"/>
      <c r="G18" s="277"/>
    </row>
    <row r="19" spans="1:7" ht="13">
      <c r="A19" s="272" t="s">
        <v>307</v>
      </c>
      <c r="B19" s="308">
        <v>0.436</v>
      </c>
      <c r="C19" s="311"/>
      <c r="D19" s="273"/>
      <c r="E19" s="274" t="str">
        <f t="shared" si="0"/>
        <v/>
      </c>
      <c r="F19" s="277"/>
      <c r="G19" s="277"/>
    </row>
    <row r="20" spans="1:7" ht="14">
      <c r="A20" s="272" t="s">
        <v>623</v>
      </c>
      <c r="B20" s="308">
        <v>0.87</v>
      </c>
      <c r="C20" s="311"/>
      <c r="D20" s="273"/>
      <c r="E20" s="274" t="str">
        <f t="shared" si="0"/>
        <v/>
      </c>
      <c r="F20" s="277"/>
      <c r="G20" s="277"/>
    </row>
    <row r="21" spans="1:7" ht="13">
      <c r="A21" s="272" t="s">
        <v>469</v>
      </c>
      <c r="B21" s="308"/>
      <c r="C21" s="311" t="s">
        <v>640</v>
      </c>
      <c r="D21" s="273"/>
      <c r="E21" s="274" t="str">
        <f t="shared" si="0"/>
        <v/>
      </c>
      <c r="F21" s="277"/>
      <c r="G21" s="277"/>
    </row>
    <row r="22" spans="1:7" ht="13">
      <c r="A22" s="272" t="s">
        <v>470</v>
      </c>
      <c r="B22" s="308"/>
      <c r="C22" s="311" t="s">
        <v>641</v>
      </c>
      <c r="D22" s="273"/>
      <c r="E22" s="274" t="str">
        <f t="shared" si="0"/>
        <v/>
      </c>
      <c r="F22" s="277"/>
      <c r="G22" s="277"/>
    </row>
    <row r="23" spans="1:7" ht="13">
      <c r="A23" s="272" t="s">
        <v>471</v>
      </c>
      <c r="B23" s="308"/>
      <c r="C23" s="311">
        <v>2770</v>
      </c>
      <c r="D23" s="273"/>
      <c r="E23" s="274" t="str">
        <f t="shared" si="0"/>
        <v/>
      </c>
      <c r="F23" s="277"/>
      <c r="G23" s="277"/>
    </row>
    <row r="24" spans="1:7" ht="13">
      <c r="A24" s="272" t="s">
        <v>472</v>
      </c>
      <c r="B24" s="308"/>
      <c r="C24" s="311" t="s">
        <v>642</v>
      </c>
      <c r="D24" s="273"/>
      <c r="E24" s="274" t="str">
        <f t="shared" si="0"/>
        <v/>
      </c>
      <c r="F24" s="277"/>
      <c r="G24" s="277"/>
    </row>
    <row r="25" spans="1:7" ht="13">
      <c r="A25" s="272" t="s">
        <v>308</v>
      </c>
      <c r="B25" s="308">
        <v>0.21</v>
      </c>
      <c r="C25" s="311"/>
      <c r="D25" s="273"/>
      <c r="E25" s="274" t="str">
        <f t="shared" si="0"/>
        <v/>
      </c>
      <c r="F25" s="277"/>
      <c r="G25" s="277"/>
    </row>
    <row r="26" spans="1:7" ht="13">
      <c r="A26" s="272" t="s">
        <v>473</v>
      </c>
      <c r="B26" s="308"/>
      <c r="C26" s="311">
        <v>6700</v>
      </c>
      <c r="D26" s="273"/>
      <c r="E26" s="274" t="str">
        <f t="shared" si="0"/>
        <v/>
      </c>
      <c r="F26" s="277"/>
      <c r="G26" s="277"/>
    </row>
    <row r="27" spans="1:7" ht="13">
      <c r="A27" s="272" t="s">
        <v>309</v>
      </c>
      <c r="B27" s="308">
        <v>0.84</v>
      </c>
      <c r="C27" s="311"/>
      <c r="D27" s="273"/>
      <c r="E27" s="274" t="str">
        <f t="shared" si="0"/>
        <v/>
      </c>
      <c r="F27" s="281"/>
    </row>
    <row r="28" spans="1:7" ht="13">
      <c r="A28" s="272" t="s">
        <v>310</v>
      </c>
      <c r="B28" s="308">
        <v>0.34799999999999998</v>
      </c>
      <c r="C28" s="311">
        <v>4700</v>
      </c>
      <c r="D28" s="273"/>
      <c r="E28" s="274" t="str">
        <f t="shared" si="0"/>
        <v/>
      </c>
      <c r="F28" s="277"/>
      <c r="G28" s="277"/>
    </row>
    <row r="29" spans="1:7" ht="13">
      <c r="A29" s="272" t="s">
        <v>311</v>
      </c>
      <c r="B29" s="308">
        <v>1.357</v>
      </c>
      <c r="C29" s="311">
        <v>1500</v>
      </c>
      <c r="D29" s="273"/>
      <c r="E29" s="274" t="str">
        <f t="shared" si="0"/>
        <v/>
      </c>
      <c r="F29" s="277"/>
      <c r="G29" s="277"/>
    </row>
    <row r="30" spans="1:7" ht="13">
      <c r="A30" s="272" t="s">
        <v>474</v>
      </c>
      <c r="B30" s="308"/>
      <c r="C30" s="311" t="s">
        <v>643</v>
      </c>
      <c r="D30" s="273"/>
      <c r="E30" s="274" t="str">
        <f t="shared" si="0"/>
        <v/>
      </c>
      <c r="F30" s="277"/>
      <c r="G30" s="277"/>
    </row>
    <row r="31" spans="1:7" ht="13">
      <c r="A31" s="302" t="s">
        <v>726</v>
      </c>
      <c r="B31" s="308">
        <v>0.5</v>
      </c>
      <c r="C31" s="311">
        <v>1700</v>
      </c>
      <c r="D31" s="273"/>
      <c r="E31" s="274" t="str">
        <f t="shared" si="0"/>
        <v/>
      </c>
      <c r="F31" s="277"/>
      <c r="G31" s="277"/>
    </row>
    <row r="32" spans="1:7" ht="13">
      <c r="A32" s="272" t="s">
        <v>312</v>
      </c>
      <c r="B32" s="308">
        <v>0.84</v>
      </c>
      <c r="C32" s="311"/>
      <c r="D32" s="273"/>
      <c r="E32" s="274" t="str">
        <f t="shared" si="0"/>
        <v/>
      </c>
      <c r="F32" s="277"/>
      <c r="G32" s="277"/>
    </row>
    <row r="33" spans="1:7" ht="13">
      <c r="A33" s="272" t="s">
        <v>313</v>
      </c>
      <c r="B33" s="308">
        <v>0.84</v>
      </c>
      <c r="C33" s="311"/>
      <c r="D33" s="273"/>
      <c r="E33" s="274" t="str">
        <f t="shared" si="0"/>
        <v/>
      </c>
      <c r="F33" s="277"/>
      <c r="G33" s="277"/>
    </row>
    <row r="34" spans="1:7" ht="13">
      <c r="A34" s="283" t="s">
        <v>183</v>
      </c>
      <c r="B34" s="308">
        <v>2.0699999999999998</v>
      </c>
      <c r="C34" s="311"/>
      <c r="D34" s="273"/>
      <c r="E34" s="274" t="str">
        <f t="shared" si="0"/>
        <v/>
      </c>
      <c r="F34" s="277"/>
      <c r="G34" s="277"/>
    </row>
    <row r="35" spans="1:7" ht="13">
      <c r="A35" s="279" t="s">
        <v>182</v>
      </c>
      <c r="B35" s="308">
        <v>0.74399999999999999</v>
      </c>
      <c r="C35" s="311"/>
      <c r="D35" s="280"/>
      <c r="E35" s="274" t="str">
        <f t="shared" si="0"/>
        <v/>
      </c>
      <c r="F35" s="277"/>
      <c r="G35" s="277"/>
    </row>
    <row r="36" spans="1:7" ht="13">
      <c r="A36" s="272" t="s">
        <v>475</v>
      </c>
      <c r="B36" s="308"/>
      <c r="C36" s="311">
        <v>350</v>
      </c>
      <c r="D36" s="273"/>
      <c r="E36" s="274" t="str">
        <f t="shared" si="0"/>
        <v/>
      </c>
      <c r="F36" s="277"/>
      <c r="G36" s="277"/>
    </row>
    <row r="37" spans="1:7" ht="13">
      <c r="A37" s="272" t="s">
        <v>476</v>
      </c>
      <c r="B37" s="308"/>
      <c r="C37" s="311">
        <v>2450</v>
      </c>
      <c r="D37" s="273"/>
      <c r="E37" s="274" t="str">
        <f t="shared" si="0"/>
        <v/>
      </c>
      <c r="F37" s="277"/>
      <c r="G37" s="277"/>
    </row>
    <row r="38" spans="1:7" ht="13">
      <c r="A38" s="272" t="s">
        <v>314</v>
      </c>
      <c r="B38" s="308">
        <v>0.84</v>
      </c>
      <c r="C38" s="311">
        <v>650</v>
      </c>
      <c r="D38" s="273"/>
      <c r="E38" s="274" t="str">
        <f t="shared" si="0"/>
        <v/>
      </c>
      <c r="F38" s="277"/>
      <c r="G38" s="277"/>
    </row>
    <row r="39" spans="1:7" ht="13">
      <c r="A39" s="302" t="s">
        <v>184</v>
      </c>
      <c r="B39" s="308">
        <v>0.7</v>
      </c>
      <c r="C39" s="311">
        <v>2100</v>
      </c>
      <c r="D39" s="273"/>
      <c r="E39" s="274" t="str">
        <f t="shared" si="0"/>
        <v/>
      </c>
      <c r="F39" s="277"/>
      <c r="G39" s="277"/>
    </row>
    <row r="40" spans="1:7" ht="13">
      <c r="A40" s="272" t="s">
        <v>477</v>
      </c>
      <c r="B40" s="308"/>
      <c r="C40" s="311">
        <v>2360</v>
      </c>
      <c r="D40" s="273"/>
      <c r="E40" s="274" t="str">
        <f t="shared" si="0"/>
        <v/>
      </c>
      <c r="F40" s="277"/>
      <c r="G40" s="277"/>
    </row>
    <row r="41" spans="1:7" ht="13">
      <c r="A41" s="272" t="s">
        <v>478</v>
      </c>
      <c r="B41" s="308"/>
      <c r="C41" s="311">
        <v>720</v>
      </c>
      <c r="D41" s="273"/>
      <c r="E41" s="274" t="str">
        <f t="shared" si="0"/>
        <v/>
      </c>
      <c r="F41" s="277"/>
      <c r="G41" s="277"/>
    </row>
    <row r="42" spans="1:7" ht="13">
      <c r="A42" s="272" t="s">
        <v>315</v>
      </c>
      <c r="B42" s="308">
        <v>0.8</v>
      </c>
      <c r="C42" s="311"/>
      <c r="D42" s="273"/>
      <c r="E42" s="274" t="str">
        <f t="shared" si="0"/>
        <v/>
      </c>
      <c r="F42" s="277"/>
      <c r="G42" s="277"/>
    </row>
    <row r="43" spans="1:7" ht="13">
      <c r="A43" s="272" t="s">
        <v>479</v>
      </c>
      <c r="B43" s="308"/>
      <c r="C43" s="311">
        <v>1360</v>
      </c>
      <c r="D43" s="273"/>
      <c r="E43" s="274" t="str">
        <f t="shared" si="0"/>
        <v/>
      </c>
      <c r="F43" s="277"/>
      <c r="G43" s="277"/>
    </row>
    <row r="44" spans="1:7" ht="13">
      <c r="A44" s="272" t="s">
        <v>317</v>
      </c>
      <c r="B44" s="308">
        <v>1.59</v>
      </c>
      <c r="C44" s="311"/>
      <c r="D44" s="273"/>
      <c r="E44" s="274" t="str">
        <f t="shared" si="0"/>
        <v/>
      </c>
      <c r="F44" s="277"/>
      <c r="G44" s="277"/>
    </row>
    <row r="45" spans="1:7" ht="13">
      <c r="A45" s="272" t="s">
        <v>316</v>
      </c>
      <c r="B45" s="308">
        <v>1.38</v>
      </c>
      <c r="C45" s="311"/>
      <c r="D45" s="273"/>
      <c r="E45" s="274" t="str">
        <f t="shared" si="0"/>
        <v/>
      </c>
      <c r="F45" s="277"/>
      <c r="G45" s="277"/>
    </row>
    <row r="46" spans="1:7" ht="13">
      <c r="A46" s="272" t="s">
        <v>480</v>
      </c>
      <c r="B46" s="308"/>
      <c r="C46" s="311">
        <v>720</v>
      </c>
      <c r="D46" s="273"/>
      <c r="E46" s="274" t="str">
        <f t="shared" si="0"/>
        <v/>
      </c>
      <c r="F46" s="277"/>
      <c r="G46" s="277"/>
    </row>
    <row r="47" spans="1:7" ht="13">
      <c r="A47" s="283" t="s">
        <v>185</v>
      </c>
      <c r="B47" s="308">
        <v>4.8000000000000001E-2</v>
      </c>
      <c r="C47" s="311">
        <v>130</v>
      </c>
      <c r="D47" s="273"/>
      <c r="E47" s="274" t="str">
        <f t="shared" si="0"/>
        <v/>
      </c>
      <c r="F47" s="277"/>
      <c r="G47" s="277"/>
    </row>
    <row r="48" spans="1:7" ht="13">
      <c r="A48" s="272" t="s">
        <v>318</v>
      </c>
      <c r="B48" s="308">
        <v>0.46</v>
      </c>
      <c r="C48" s="311"/>
      <c r="D48" s="273"/>
      <c r="E48" s="274" t="str">
        <f t="shared" si="0"/>
        <v/>
      </c>
      <c r="F48" s="277"/>
      <c r="G48" s="277"/>
    </row>
    <row r="49" spans="1:7" ht="13">
      <c r="A49" s="272" t="s">
        <v>481</v>
      </c>
      <c r="B49" s="308"/>
      <c r="C49" s="311">
        <v>2890</v>
      </c>
      <c r="D49" s="273"/>
      <c r="E49" s="274" t="str">
        <f t="shared" si="0"/>
        <v/>
      </c>
      <c r="F49" s="277"/>
      <c r="G49" s="277"/>
    </row>
    <row r="50" spans="1:7" ht="13">
      <c r="A50" s="272" t="s">
        <v>319</v>
      </c>
      <c r="B50" s="308">
        <v>0.28999999999999998</v>
      </c>
      <c r="C50" s="311">
        <v>3780</v>
      </c>
      <c r="D50" s="273"/>
      <c r="E50" s="274" t="str">
        <f t="shared" si="0"/>
        <v/>
      </c>
      <c r="F50" s="277"/>
      <c r="G50" s="277"/>
    </row>
    <row r="51" spans="1:7" ht="13">
      <c r="A51" s="272" t="s">
        <v>482</v>
      </c>
      <c r="B51" s="308"/>
      <c r="C51" s="311">
        <v>240</v>
      </c>
      <c r="D51" s="273"/>
      <c r="E51" s="274" t="str">
        <f t="shared" si="0"/>
        <v/>
      </c>
      <c r="F51" s="277"/>
      <c r="G51" s="277"/>
    </row>
    <row r="52" spans="1:7" ht="13">
      <c r="A52" s="272" t="s">
        <v>483</v>
      </c>
      <c r="B52" s="308"/>
      <c r="C52" s="311">
        <v>4500</v>
      </c>
      <c r="D52" s="273"/>
      <c r="E52" s="274" t="str">
        <f t="shared" si="0"/>
        <v/>
      </c>
      <c r="F52" s="281"/>
    </row>
    <row r="53" spans="1:7" ht="13">
      <c r="A53" s="272" t="s">
        <v>484</v>
      </c>
      <c r="B53" s="308"/>
      <c r="C53" s="311" t="s">
        <v>644</v>
      </c>
      <c r="D53" s="273"/>
      <c r="E53" s="274" t="str">
        <f t="shared" si="0"/>
        <v/>
      </c>
      <c r="F53" s="281"/>
    </row>
    <row r="54" spans="1:7" ht="13">
      <c r="A54" s="272" t="s">
        <v>320</v>
      </c>
      <c r="B54" s="308">
        <v>0.84</v>
      </c>
      <c r="C54" s="311"/>
      <c r="D54" s="273"/>
      <c r="E54" s="274" t="str">
        <f t="shared" si="0"/>
        <v/>
      </c>
      <c r="F54" s="281"/>
    </row>
    <row r="55" spans="1:7" ht="13">
      <c r="A55" s="302" t="s">
        <v>693</v>
      </c>
      <c r="B55" s="308">
        <v>3.5</v>
      </c>
      <c r="C55" s="311">
        <v>3000</v>
      </c>
      <c r="D55" s="313"/>
      <c r="E55" s="274" t="str">
        <f t="shared" si="0"/>
        <v/>
      </c>
      <c r="F55" s="281"/>
    </row>
    <row r="56" spans="1:7" ht="13">
      <c r="A56" s="272" t="s">
        <v>485</v>
      </c>
      <c r="B56" s="308"/>
      <c r="C56" s="311">
        <v>1280</v>
      </c>
      <c r="D56" s="273"/>
      <c r="E56" s="274" t="str">
        <f t="shared" si="0"/>
        <v/>
      </c>
      <c r="F56" s="281"/>
    </row>
    <row r="57" spans="1:7" ht="13">
      <c r="A57" s="272" t="s">
        <v>321</v>
      </c>
      <c r="B57" s="308">
        <v>3.4</v>
      </c>
      <c r="C57" s="311">
        <v>960</v>
      </c>
      <c r="D57" s="273"/>
      <c r="E57" s="274" t="str">
        <f t="shared" si="0"/>
        <v/>
      </c>
      <c r="F57" s="281"/>
    </row>
    <row r="58" spans="1:7" ht="13">
      <c r="A58" s="272" t="s">
        <v>322</v>
      </c>
      <c r="B58" s="308">
        <v>0.84</v>
      </c>
      <c r="C58" s="311">
        <v>2700</v>
      </c>
      <c r="D58" s="273"/>
      <c r="E58" s="274" t="str">
        <f t="shared" si="0"/>
        <v/>
      </c>
      <c r="F58" s="281"/>
    </row>
    <row r="59" spans="1:7" ht="13">
      <c r="A59" s="272" t="s">
        <v>323</v>
      </c>
      <c r="B59" s="308">
        <v>1.02</v>
      </c>
      <c r="C59" s="311">
        <v>1850</v>
      </c>
      <c r="D59" s="273"/>
      <c r="E59" s="274" t="str">
        <f t="shared" si="0"/>
        <v/>
      </c>
      <c r="F59" s="281"/>
    </row>
    <row r="60" spans="1:7" ht="13">
      <c r="A60" s="272" t="s">
        <v>486</v>
      </c>
      <c r="B60" s="308"/>
      <c r="C60" s="311" t="s">
        <v>645</v>
      </c>
      <c r="D60" s="273"/>
      <c r="E60" s="274" t="str">
        <f t="shared" si="0"/>
        <v/>
      </c>
      <c r="F60" s="281"/>
    </row>
    <row r="61" spans="1:7" ht="13">
      <c r="A61" s="272" t="s">
        <v>324</v>
      </c>
      <c r="B61" s="308">
        <v>0.13</v>
      </c>
      <c r="C61" s="311">
        <v>9800</v>
      </c>
      <c r="D61" s="273"/>
      <c r="E61" s="274" t="str">
        <f t="shared" si="0"/>
        <v/>
      </c>
      <c r="F61" s="281"/>
    </row>
    <row r="62" spans="1:7" ht="13">
      <c r="A62" s="302" t="s">
        <v>186</v>
      </c>
      <c r="B62" s="308">
        <v>0.2</v>
      </c>
      <c r="C62" s="311">
        <v>1050</v>
      </c>
      <c r="D62" s="273"/>
      <c r="E62" s="274" t="str">
        <f t="shared" si="0"/>
        <v/>
      </c>
      <c r="F62" s="281"/>
    </row>
    <row r="63" spans="1:7" ht="13">
      <c r="A63" s="279" t="s">
        <v>233</v>
      </c>
      <c r="B63" s="308">
        <v>0.15</v>
      </c>
      <c r="C63" s="311"/>
      <c r="D63" s="280"/>
      <c r="E63" s="274" t="str">
        <f t="shared" si="0"/>
        <v/>
      </c>
      <c r="F63" s="281"/>
    </row>
    <row r="64" spans="1:7" ht="13">
      <c r="A64" s="302" t="s">
        <v>694</v>
      </c>
      <c r="B64" s="308">
        <v>2.5</v>
      </c>
      <c r="C64" s="311">
        <v>2700</v>
      </c>
      <c r="D64" s="313"/>
      <c r="E64" s="274" t="str">
        <f t="shared" si="0"/>
        <v/>
      </c>
      <c r="F64" s="281"/>
    </row>
    <row r="65" spans="1:7" ht="13">
      <c r="A65" s="272" t="s">
        <v>325</v>
      </c>
      <c r="B65" s="308">
        <v>0.8</v>
      </c>
      <c r="C65" s="311"/>
      <c r="D65" s="273"/>
      <c r="E65" s="274" t="str">
        <f t="shared" si="0"/>
        <v/>
      </c>
      <c r="F65" s="281"/>
    </row>
    <row r="66" spans="1:7" ht="13">
      <c r="A66" s="272" t="s">
        <v>487</v>
      </c>
      <c r="B66" s="308"/>
      <c r="C66" s="311">
        <v>2500</v>
      </c>
      <c r="D66" s="273"/>
      <c r="E66" s="274" t="str">
        <f t="shared" ref="E66:E129" si="1">IF(A66=A67,"#","")</f>
        <v/>
      </c>
      <c r="F66" s="281"/>
    </row>
    <row r="67" spans="1:7" ht="13">
      <c r="A67" s="272" t="s">
        <v>326</v>
      </c>
      <c r="B67" s="308">
        <v>0.44</v>
      </c>
      <c r="C67" s="311" t="s">
        <v>646</v>
      </c>
      <c r="D67" s="273"/>
      <c r="E67" s="274" t="str">
        <f t="shared" si="1"/>
        <v/>
      </c>
      <c r="F67" s="277"/>
      <c r="G67" s="277"/>
    </row>
    <row r="68" spans="1:7" ht="13">
      <c r="A68" s="272" t="s">
        <v>488</v>
      </c>
      <c r="B68" s="308"/>
      <c r="C68" s="311">
        <v>880</v>
      </c>
      <c r="D68" s="273"/>
      <c r="E68" s="274" t="str">
        <f t="shared" si="1"/>
        <v/>
      </c>
      <c r="F68" s="277"/>
      <c r="G68" s="277"/>
    </row>
    <row r="69" spans="1:7" ht="13">
      <c r="A69" s="272" t="s">
        <v>327</v>
      </c>
      <c r="B69" s="308">
        <v>1</v>
      </c>
      <c r="C69" s="311"/>
      <c r="D69" s="273"/>
      <c r="E69" s="274" t="str">
        <f t="shared" si="1"/>
        <v/>
      </c>
      <c r="F69" s="277"/>
      <c r="G69" s="277"/>
    </row>
    <row r="70" spans="1:7" ht="13">
      <c r="A70" s="272" t="s">
        <v>489</v>
      </c>
      <c r="B70" s="308"/>
      <c r="C70" s="311">
        <v>850</v>
      </c>
      <c r="D70" s="273"/>
      <c r="E70" s="274" t="str">
        <f t="shared" si="1"/>
        <v/>
      </c>
      <c r="F70" s="277"/>
      <c r="G70" s="277"/>
    </row>
    <row r="71" spans="1:7" ht="13">
      <c r="A71" s="272" t="s">
        <v>328</v>
      </c>
      <c r="B71" s="308">
        <v>1.3</v>
      </c>
      <c r="C71" s="311"/>
      <c r="D71" s="273"/>
      <c r="E71" s="274" t="str">
        <f t="shared" si="1"/>
        <v/>
      </c>
      <c r="F71" s="277"/>
      <c r="G71" s="277"/>
    </row>
    <row r="72" spans="1:7" ht="13">
      <c r="A72" s="283" t="s">
        <v>177</v>
      </c>
      <c r="B72" s="308">
        <v>110</v>
      </c>
      <c r="C72" s="311">
        <v>8500</v>
      </c>
      <c r="D72" s="273">
        <v>390</v>
      </c>
      <c r="E72" s="274" t="str">
        <f t="shared" si="1"/>
        <v/>
      </c>
      <c r="F72" s="277"/>
      <c r="G72" s="277"/>
    </row>
    <row r="73" spans="1:7" ht="13">
      <c r="A73" s="283" t="s">
        <v>170</v>
      </c>
      <c r="B73" s="308">
        <v>0.84</v>
      </c>
      <c r="C73" s="311">
        <v>1700</v>
      </c>
      <c r="D73" s="273">
        <v>800</v>
      </c>
      <c r="E73" s="274" t="str">
        <f t="shared" si="1"/>
        <v/>
      </c>
      <c r="F73" s="277"/>
      <c r="G73" s="277"/>
    </row>
    <row r="74" spans="1:7" ht="13">
      <c r="A74" s="279" t="s">
        <v>187</v>
      </c>
      <c r="B74" s="308">
        <v>1.31</v>
      </c>
      <c r="C74" s="311"/>
      <c r="D74" s="280"/>
      <c r="E74" s="274" t="str">
        <f t="shared" si="1"/>
        <v/>
      </c>
      <c r="F74" s="277"/>
      <c r="G74" s="277"/>
    </row>
    <row r="75" spans="1:7" ht="13">
      <c r="A75" s="272" t="s">
        <v>329</v>
      </c>
      <c r="B75" s="308">
        <v>1</v>
      </c>
      <c r="C75" s="311"/>
      <c r="D75" s="273"/>
      <c r="E75" s="274" t="str">
        <f t="shared" si="1"/>
        <v/>
      </c>
      <c r="F75" s="277"/>
      <c r="G75" s="277"/>
    </row>
    <row r="76" spans="1:7" ht="13">
      <c r="A76" s="272" t="s">
        <v>490</v>
      </c>
      <c r="B76" s="308"/>
      <c r="C76" s="311">
        <v>8830</v>
      </c>
      <c r="D76" s="273"/>
      <c r="E76" s="274" t="str">
        <f t="shared" si="1"/>
        <v/>
      </c>
      <c r="F76" s="277"/>
      <c r="G76" s="277"/>
    </row>
    <row r="77" spans="1:7" ht="13">
      <c r="A77" s="283" t="s">
        <v>181</v>
      </c>
      <c r="B77" s="308">
        <v>64</v>
      </c>
      <c r="C77" s="311">
        <v>8150</v>
      </c>
      <c r="D77" s="273"/>
      <c r="E77" s="274" t="str">
        <f t="shared" si="1"/>
        <v/>
      </c>
      <c r="F77" s="277"/>
      <c r="G77" s="277"/>
    </row>
    <row r="78" spans="1:7" ht="13">
      <c r="A78" s="272" t="s">
        <v>330</v>
      </c>
      <c r="B78" s="308"/>
      <c r="C78" s="311"/>
      <c r="D78" s="273"/>
      <c r="E78" s="274" t="str">
        <f t="shared" si="1"/>
        <v/>
      </c>
      <c r="F78" s="277"/>
      <c r="G78" s="277"/>
    </row>
    <row r="79" spans="1:7" ht="13">
      <c r="A79" s="272" t="s">
        <v>491</v>
      </c>
      <c r="B79" s="308"/>
      <c r="C79" s="311">
        <v>5100</v>
      </c>
      <c r="D79" s="273"/>
      <c r="E79" s="274" t="str">
        <f t="shared" si="1"/>
        <v/>
      </c>
      <c r="F79" s="277"/>
      <c r="G79" s="277"/>
    </row>
    <row r="80" spans="1:7" ht="13">
      <c r="A80" s="272" t="s">
        <v>492</v>
      </c>
      <c r="B80" s="308"/>
      <c r="C80" s="311">
        <v>870</v>
      </c>
      <c r="D80" s="273"/>
      <c r="E80" s="274" t="str">
        <f t="shared" si="1"/>
        <v/>
      </c>
      <c r="F80" s="277"/>
      <c r="G80" s="277"/>
    </row>
    <row r="81" spans="1:7" ht="13">
      <c r="A81" s="272" t="s">
        <v>331</v>
      </c>
      <c r="B81" s="308">
        <v>0.25</v>
      </c>
      <c r="C81" s="311">
        <v>8640</v>
      </c>
      <c r="D81" s="273"/>
      <c r="E81" s="274" t="str">
        <f t="shared" si="1"/>
        <v/>
      </c>
      <c r="F81" s="277"/>
      <c r="G81" s="277"/>
    </row>
    <row r="82" spans="1:7" ht="13">
      <c r="A82" s="272" t="s">
        <v>493</v>
      </c>
      <c r="B82" s="308"/>
      <c r="C82" s="311" t="s">
        <v>647</v>
      </c>
      <c r="D82" s="273"/>
      <c r="E82" s="274" t="str">
        <f t="shared" si="1"/>
        <v/>
      </c>
      <c r="F82" s="277"/>
      <c r="G82" s="277"/>
    </row>
    <row r="83" spans="1:7" ht="13">
      <c r="A83" s="272" t="s">
        <v>332</v>
      </c>
      <c r="B83" s="308">
        <v>0.8</v>
      </c>
      <c r="C83" s="311"/>
      <c r="D83" s="273"/>
      <c r="E83" s="274" t="str">
        <f t="shared" si="1"/>
        <v/>
      </c>
      <c r="F83" s="277"/>
      <c r="G83" s="277"/>
    </row>
    <row r="84" spans="1:7" ht="13">
      <c r="A84" s="272" t="s">
        <v>333</v>
      </c>
      <c r="B84" s="308">
        <v>0.84</v>
      </c>
      <c r="C84" s="311"/>
      <c r="D84" s="273"/>
      <c r="E84" s="274" t="str">
        <f t="shared" si="1"/>
        <v/>
      </c>
      <c r="F84" s="277"/>
      <c r="G84" s="277"/>
    </row>
    <row r="85" spans="1:7" ht="13">
      <c r="A85" s="272" t="s">
        <v>334</v>
      </c>
      <c r="B85" s="308">
        <v>0.63</v>
      </c>
      <c r="C85" s="311">
        <v>1550</v>
      </c>
      <c r="D85" s="273"/>
      <c r="E85" s="274" t="str">
        <f t="shared" si="1"/>
        <v/>
      </c>
      <c r="F85" s="277"/>
      <c r="G85" s="277"/>
    </row>
    <row r="86" spans="1:7" ht="13">
      <c r="A86" s="272" t="s">
        <v>494</v>
      </c>
      <c r="B86" s="308"/>
      <c r="C86" s="311" t="s">
        <v>648</v>
      </c>
      <c r="D86" s="273"/>
      <c r="E86" s="274" t="str">
        <f t="shared" si="1"/>
        <v/>
      </c>
      <c r="F86" s="277"/>
      <c r="G86" s="277"/>
    </row>
    <row r="87" spans="1:7" ht="13">
      <c r="A87" s="272" t="s">
        <v>495</v>
      </c>
      <c r="B87" s="308"/>
      <c r="C87" s="311">
        <v>1000</v>
      </c>
      <c r="D87" s="273"/>
      <c r="E87" s="274" t="str">
        <f t="shared" si="1"/>
        <v/>
      </c>
      <c r="F87" s="277"/>
      <c r="G87" s="277"/>
    </row>
    <row r="88" spans="1:7" ht="13">
      <c r="A88" s="272" t="s">
        <v>497</v>
      </c>
      <c r="B88" s="308"/>
      <c r="C88" s="311" t="s">
        <v>649</v>
      </c>
      <c r="D88" s="273"/>
      <c r="E88" s="274" t="str">
        <f t="shared" si="1"/>
        <v/>
      </c>
      <c r="F88" s="277"/>
      <c r="G88" s="277"/>
    </row>
    <row r="89" spans="1:7" ht="13">
      <c r="A89" s="272" t="s">
        <v>496</v>
      </c>
      <c r="B89" s="308"/>
      <c r="C89" s="311">
        <v>3510</v>
      </c>
      <c r="D89" s="273"/>
      <c r="E89" s="274" t="str">
        <f t="shared" si="1"/>
        <v/>
      </c>
      <c r="F89" s="277"/>
      <c r="G89" s="277"/>
    </row>
    <row r="90" spans="1:7" ht="13">
      <c r="A90" s="272" t="s">
        <v>335</v>
      </c>
      <c r="B90" s="308">
        <v>0.52</v>
      </c>
      <c r="C90" s="311"/>
      <c r="D90" s="273"/>
      <c r="E90" s="274" t="str">
        <f t="shared" si="1"/>
        <v/>
      </c>
      <c r="F90" s="277"/>
      <c r="G90" s="277"/>
    </row>
    <row r="91" spans="1:7" ht="13">
      <c r="A91" s="272" t="s">
        <v>336</v>
      </c>
      <c r="B91" s="308">
        <v>0.71</v>
      </c>
      <c r="C91" s="311"/>
      <c r="D91" s="273"/>
      <c r="E91" s="274" t="str">
        <f t="shared" si="1"/>
        <v/>
      </c>
      <c r="F91" s="281"/>
    </row>
    <row r="92" spans="1:7" ht="13">
      <c r="A92" s="272" t="s">
        <v>337</v>
      </c>
      <c r="B92" s="308">
        <v>0.67</v>
      </c>
      <c r="C92" s="311"/>
      <c r="D92" s="273"/>
      <c r="E92" s="274" t="str">
        <f t="shared" si="1"/>
        <v/>
      </c>
      <c r="F92" s="281"/>
    </row>
    <row r="93" spans="1:7" ht="13">
      <c r="A93" s="272" t="s">
        <v>498</v>
      </c>
      <c r="B93" s="308"/>
      <c r="C93" s="311">
        <v>700</v>
      </c>
      <c r="D93" s="273"/>
      <c r="E93" s="274" t="str">
        <f t="shared" si="1"/>
        <v/>
      </c>
      <c r="F93" s="281"/>
    </row>
    <row r="94" spans="1:7" ht="13">
      <c r="A94" s="283" t="s">
        <v>259</v>
      </c>
      <c r="B94" s="308">
        <v>0.1</v>
      </c>
      <c r="C94" s="311">
        <v>400</v>
      </c>
      <c r="D94" s="273">
        <v>1360</v>
      </c>
      <c r="E94" s="274" t="str">
        <f t="shared" si="1"/>
        <v/>
      </c>
      <c r="F94" s="281"/>
    </row>
    <row r="95" spans="1:7" ht="13">
      <c r="A95" s="302" t="s">
        <v>794</v>
      </c>
      <c r="B95" s="308"/>
      <c r="C95" s="311">
        <v>0.09</v>
      </c>
      <c r="D95" s="273"/>
      <c r="E95" s="274" t="str">
        <f t="shared" si="1"/>
        <v/>
      </c>
      <c r="F95" s="281"/>
    </row>
    <row r="96" spans="1:7" ht="13">
      <c r="A96" s="272" t="s">
        <v>338</v>
      </c>
      <c r="B96" s="308">
        <v>0.38</v>
      </c>
      <c r="C96" s="311"/>
      <c r="D96" s="273"/>
      <c r="E96" s="274" t="str">
        <f t="shared" si="1"/>
        <v/>
      </c>
      <c r="F96" s="281"/>
    </row>
    <row r="97" spans="1:6" ht="13">
      <c r="A97" s="272" t="s">
        <v>499</v>
      </c>
      <c r="B97" s="308"/>
      <c r="C97" s="311">
        <v>7200</v>
      </c>
      <c r="D97" s="273"/>
      <c r="E97" s="274" t="str">
        <f t="shared" si="1"/>
        <v/>
      </c>
      <c r="F97" s="281"/>
    </row>
    <row r="98" spans="1:6" ht="13">
      <c r="A98" s="302" t="s">
        <v>775</v>
      </c>
      <c r="B98" s="308">
        <v>0.05</v>
      </c>
      <c r="C98" s="311">
        <v>50</v>
      </c>
      <c r="D98" s="273"/>
      <c r="E98" s="274" t="str">
        <f t="shared" si="1"/>
        <v/>
      </c>
      <c r="F98" s="281"/>
    </row>
    <row r="99" spans="1:6" ht="13">
      <c r="A99" s="302" t="s">
        <v>717</v>
      </c>
      <c r="B99" s="308" t="s">
        <v>708</v>
      </c>
      <c r="C99" s="311">
        <v>1200</v>
      </c>
      <c r="D99" s="313"/>
      <c r="E99" s="274" t="str">
        <f t="shared" si="1"/>
        <v/>
      </c>
      <c r="F99" s="281"/>
    </row>
    <row r="100" spans="1:6" ht="13">
      <c r="A100" s="272" t="s">
        <v>341</v>
      </c>
      <c r="B100" s="308"/>
      <c r="C100" s="311">
        <v>1400</v>
      </c>
      <c r="D100" s="273"/>
      <c r="E100" s="274" t="str">
        <f t="shared" si="1"/>
        <v/>
      </c>
      <c r="F100" s="281"/>
    </row>
    <row r="101" spans="1:6" ht="13">
      <c r="A101" s="272" t="s">
        <v>501</v>
      </c>
      <c r="B101" s="308"/>
      <c r="C101" s="311" t="s">
        <v>650</v>
      </c>
      <c r="D101" s="273"/>
      <c r="E101" s="274" t="str">
        <f t="shared" si="1"/>
        <v/>
      </c>
      <c r="F101" s="281"/>
    </row>
    <row r="102" spans="1:6" ht="13">
      <c r="A102" s="272" t="s">
        <v>502</v>
      </c>
      <c r="B102" s="308"/>
      <c r="C102" s="311" t="s">
        <v>651</v>
      </c>
      <c r="D102" s="273"/>
      <c r="E102" s="274" t="str">
        <f t="shared" si="1"/>
        <v/>
      </c>
      <c r="F102" s="281"/>
    </row>
    <row r="103" spans="1:6" ht="13">
      <c r="A103" s="272" t="s">
        <v>503</v>
      </c>
      <c r="B103" s="308"/>
      <c r="C103" s="311" t="s">
        <v>652</v>
      </c>
      <c r="D103" s="273"/>
      <c r="E103" s="274" t="str">
        <f t="shared" si="1"/>
        <v/>
      </c>
      <c r="F103" s="281"/>
    </row>
    <row r="104" spans="1:6" ht="26">
      <c r="A104" s="272" t="s">
        <v>500</v>
      </c>
      <c r="B104" s="308"/>
      <c r="C104" s="311" t="s">
        <v>653</v>
      </c>
      <c r="D104" s="273"/>
      <c r="E104" s="274" t="str">
        <f t="shared" si="1"/>
        <v/>
      </c>
      <c r="F104" s="281"/>
    </row>
    <row r="105" spans="1:6" ht="13">
      <c r="A105" s="279" t="s">
        <v>257</v>
      </c>
      <c r="B105" s="308">
        <v>2.1000000000000001E-2</v>
      </c>
      <c r="C105" s="311"/>
      <c r="D105" s="280"/>
      <c r="E105" s="274" t="str">
        <f t="shared" si="1"/>
        <v/>
      </c>
      <c r="F105" s="281"/>
    </row>
    <row r="106" spans="1:6" ht="13">
      <c r="A106" s="302" t="s">
        <v>801</v>
      </c>
      <c r="B106" s="414">
        <v>0.125</v>
      </c>
      <c r="C106" s="415">
        <v>1300</v>
      </c>
      <c r="D106" s="313"/>
      <c r="E106" s="274" t="str">
        <f t="shared" si="1"/>
        <v/>
      </c>
      <c r="F106" s="281"/>
    </row>
    <row r="107" spans="1:6" ht="13">
      <c r="A107" s="302" t="s">
        <v>737</v>
      </c>
      <c r="B107" s="308">
        <v>0.9</v>
      </c>
      <c r="C107" s="311">
        <v>1900</v>
      </c>
      <c r="D107" s="273"/>
      <c r="E107" s="274" t="str">
        <f t="shared" si="1"/>
        <v/>
      </c>
      <c r="F107" s="281"/>
    </row>
    <row r="108" spans="1:6" ht="13">
      <c r="A108" s="272" t="s">
        <v>620</v>
      </c>
      <c r="B108" s="308">
        <v>0.35</v>
      </c>
      <c r="C108" s="311">
        <v>1050</v>
      </c>
      <c r="D108" s="273"/>
      <c r="E108" s="274" t="str">
        <f t="shared" si="1"/>
        <v/>
      </c>
      <c r="F108" s="281"/>
    </row>
    <row r="109" spans="1:6" ht="13">
      <c r="A109" s="272" t="s">
        <v>339</v>
      </c>
      <c r="B109" s="308">
        <v>1.55</v>
      </c>
      <c r="C109" s="311"/>
      <c r="D109" s="273"/>
      <c r="E109" s="274" t="str">
        <f t="shared" si="1"/>
        <v/>
      </c>
      <c r="F109" s="281"/>
    </row>
    <row r="110" spans="1:6" ht="13">
      <c r="A110" s="272" t="s">
        <v>340</v>
      </c>
      <c r="B110" s="308">
        <v>0.84</v>
      </c>
      <c r="C110" s="311"/>
      <c r="D110" s="273"/>
      <c r="E110" s="274" t="str">
        <f t="shared" si="1"/>
        <v/>
      </c>
      <c r="F110" s="281"/>
    </row>
    <row r="111" spans="1:6" ht="13">
      <c r="A111" s="283" t="s">
        <v>188</v>
      </c>
      <c r="B111" s="308">
        <v>1.73</v>
      </c>
      <c r="C111" s="311"/>
      <c r="D111" s="273"/>
      <c r="E111" s="274" t="str">
        <f t="shared" si="1"/>
        <v/>
      </c>
      <c r="F111" s="281"/>
    </row>
    <row r="112" spans="1:6" ht="13">
      <c r="A112" s="272" t="s">
        <v>506</v>
      </c>
      <c r="B112" s="308"/>
      <c r="C112" s="311">
        <v>1500</v>
      </c>
      <c r="D112" s="273"/>
      <c r="E112" s="274" t="str">
        <f t="shared" si="1"/>
        <v/>
      </c>
      <c r="F112" s="281"/>
    </row>
    <row r="113" spans="1:6" ht="13">
      <c r="A113" s="272" t="s">
        <v>505</v>
      </c>
      <c r="B113" s="308"/>
      <c r="C113" s="311" t="s">
        <v>654</v>
      </c>
      <c r="D113" s="273"/>
      <c r="E113" s="274" t="str">
        <f t="shared" si="1"/>
        <v/>
      </c>
      <c r="F113" s="281"/>
    </row>
    <row r="114" spans="1:6" ht="13">
      <c r="A114" s="272" t="s">
        <v>507</v>
      </c>
      <c r="B114" s="308"/>
      <c r="C114" s="311">
        <v>6770</v>
      </c>
      <c r="D114" s="273"/>
      <c r="E114" s="274" t="str">
        <f t="shared" si="1"/>
        <v/>
      </c>
      <c r="F114" s="281"/>
    </row>
    <row r="115" spans="1:6" ht="13">
      <c r="A115" s="272" t="s">
        <v>343</v>
      </c>
      <c r="B115" s="308">
        <v>0.54</v>
      </c>
      <c r="C115" s="311"/>
      <c r="D115" s="273"/>
      <c r="E115" s="274" t="str">
        <f t="shared" si="1"/>
        <v/>
      </c>
      <c r="F115" s="281"/>
    </row>
    <row r="116" spans="1:6" ht="13">
      <c r="A116" s="272" t="s">
        <v>189</v>
      </c>
      <c r="B116" s="308">
        <v>0.9</v>
      </c>
      <c r="C116" s="311">
        <v>2100</v>
      </c>
      <c r="D116" s="273"/>
      <c r="E116" s="274" t="str">
        <f t="shared" si="1"/>
        <v/>
      </c>
      <c r="F116" s="281"/>
    </row>
    <row r="117" spans="1:6" ht="13">
      <c r="A117" s="272" t="s">
        <v>342</v>
      </c>
      <c r="B117" s="308">
        <v>1</v>
      </c>
      <c r="C117" s="311"/>
      <c r="D117" s="273"/>
      <c r="E117" s="274" t="str">
        <f t="shared" si="1"/>
        <v/>
      </c>
      <c r="F117" s="281"/>
    </row>
    <row r="118" spans="1:6" ht="13">
      <c r="A118" s="272" t="s">
        <v>508</v>
      </c>
      <c r="B118" s="308"/>
      <c r="C118" s="311">
        <v>600</v>
      </c>
      <c r="D118" s="273"/>
      <c r="E118" s="274" t="str">
        <f t="shared" si="1"/>
        <v/>
      </c>
      <c r="F118" s="281"/>
    </row>
    <row r="119" spans="1:6" ht="13">
      <c r="A119" s="272" t="s">
        <v>509</v>
      </c>
      <c r="B119" s="308"/>
      <c r="C119" s="311" t="s">
        <v>655</v>
      </c>
      <c r="D119" s="273"/>
      <c r="E119" s="274" t="str">
        <f t="shared" si="1"/>
        <v/>
      </c>
      <c r="F119" s="281"/>
    </row>
    <row r="120" spans="1:6" ht="13">
      <c r="A120" s="272" t="s">
        <v>344</v>
      </c>
      <c r="B120" s="308">
        <v>1</v>
      </c>
      <c r="C120" s="311"/>
      <c r="D120" s="273"/>
      <c r="E120" s="274" t="str">
        <f t="shared" si="1"/>
        <v/>
      </c>
      <c r="F120" s="281"/>
    </row>
    <row r="121" spans="1:6" ht="13">
      <c r="A121" s="302" t="s">
        <v>753</v>
      </c>
      <c r="B121" s="308">
        <v>0.2</v>
      </c>
      <c r="C121" s="311">
        <v>700</v>
      </c>
      <c r="D121" s="273"/>
      <c r="E121" s="274" t="str">
        <f t="shared" si="1"/>
        <v/>
      </c>
      <c r="F121" s="281"/>
    </row>
    <row r="122" spans="1:6" ht="13">
      <c r="A122" s="272" t="s">
        <v>504</v>
      </c>
      <c r="B122" s="308"/>
      <c r="C122" s="311">
        <v>1400</v>
      </c>
      <c r="D122" s="273"/>
      <c r="E122" s="274" t="str">
        <f t="shared" si="1"/>
        <v/>
      </c>
      <c r="F122" s="281"/>
    </row>
    <row r="123" spans="1:6" ht="13">
      <c r="A123" s="272" t="s">
        <v>510</v>
      </c>
      <c r="B123" s="308"/>
      <c r="C123" s="311">
        <v>5210</v>
      </c>
      <c r="D123" s="273"/>
      <c r="E123" s="274" t="str">
        <f t="shared" si="1"/>
        <v/>
      </c>
      <c r="F123" s="281"/>
    </row>
    <row r="124" spans="1:6" ht="13">
      <c r="A124" s="272" t="s">
        <v>345</v>
      </c>
      <c r="B124" s="308">
        <v>0.5</v>
      </c>
      <c r="C124" s="311">
        <v>7000</v>
      </c>
      <c r="D124" s="273"/>
      <c r="E124" s="274" t="str">
        <f t="shared" si="1"/>
        <v/>
      </c>
      <c r="F124" s="281"/>
    </row>
    <row r="125" spans="1:6" ht="13">
      <c r="A125" s="272" t="s">
        <v>511</v>
      </c>
      <c r="B125" s="308"/>
      <c r="C125" s="311">
        <v>8100</v>
      </c>
      <c r="D125" s="273"/>
      <c r="E125" s="274" t="str">
        <f t="shared" si="1"/>
        <v/>
      </c>
      <c r="F125" s="281"/>
    </row>
    <row r="126" spans="1:6" ht="13">
      <c r="A126" s="272" t="s">
        <v>346</v>
      </c>
      <c r="B126" s="308">
        <v>0.92</v>
      </c>
      <c r="C126" s="311">
        <v>2200</v>
      </c>
      <c r="D126" s="273"/>
      <c r="E126" s="274" t="str">
        <f t="shared" si="1"/>
        <v/>
      </c>
      <c r="F126" s="281"/>
    </row>
    <row r="127" spans="1:6" ht="13">
      <c r="A127" s="302" t="s">
        <v>786</v>
      </c>
      <c r="B127" s="308">
        <v>0.9</v>
      </c>
      <c r="C127" s="311">
        <v>1780</v>
      </c>
      <c r="D127" s="273"/>
      <c r="E127" s="274" t="str">
        <f t="shared" si="1"/>
        <v/>
      </c>
      <c r="F127" s="281"/>
    </row>
    <row r="128" spans="1:6" ht="13">
      <c r="A128" s="272" t="s">
        <v>347</v>
      </c>
      <c r="B128" s="308">
        <v>1.26</v>
      </c>
      <c r="C128" s="311">
        <v>1600</v>
      </c>
      <c r="D128" s="273"/>
      <c r="E128" s="274" t="str">
        <f t="shared" si="1"/>
        <v/>
      </c>
      <c r="F128" s="281"/>
    </row>
    <row r="129" spans="1:6" ht="13">
      <c r="A129" s="272" t="s">
        <v>348</v>
      </c>
      <c r="B129" s="308">
        <v>1.38</v>
      </c>
      <c r="C129" s="311">
        <v>1400</v>
      </c>
      <c r="D129" s="273"/>
      <c r="E129" s="274" t="str">
        <f t="shared" si="1"/>
        <v/>
      </c>
      <c r="F129" s="281"/>
    </row>
    <row r="130" spans="1:6" ht="13">
      <c r="A130" s="272" t="s">
        <v>349</v>
      </c>
      <c r="B130" s="308">
        <v>0.46</v>
      </c>
      <c r="C130" s="311">
        <v>9000</v>
      </c>
      <c r="D130" s="273"/>
      <c r="E130" s="274" t="str">
        <f t="shared" ref="E130:E193" si="2">IF(A130=A131,"#","")</f>
        <v/>
      </c>
      <c r="F130" s="281"/>
    </row>
    <row r="131" spans="1:6" ht="13">
      <c r="A131" s="272" t="s">
        <v>512</v>
      </c>
      <c r="B131" s="308"/>
      <c r="C131" s="311">
        <v>900</v>
      </c>
      <c r="D131" s="273"/>
      <c r="E131" s="274" t="str">
        <f t="shared" si="2"/>
        <v/>
      </c>
      <c r="F131" s="281"/>
    </row>
    <row r="132" spans="1:6" ht="13">
      <c r="A132" s="272" t="s">
        <v>350</v>
      </c>
      <c r="B132" s="308">
        <v>0.85</v>
      </c>
      <c r="C132" s="311">
        <v>1500</v>
      </c>
      <c r="D132" s="273"/>
      <c r="E132" s="274" t="str">
        <f t="shared" si="2"/>
        <v/>
      </c>
      <c r="F132" s="281"/>
    </row>
    <row r="133" spans="1:6" ht="13">
      <c r="A133" s="283" t="s">
        <v>263</v>
      </c>
      <c r="B133" s="308">
        <v>1.31</v>
      </c>
      <c r="C133" s="311">
        <v>2240</v>
      </c>
      <c r="D133" s="273">
        <v>840</v>
      </c>
      <c r="E133" s="274" t="str">
        <f t="shared" si="2"/>
        <v/>
      </c>
      <c r="F133" s="281"/>
    </row>
    <row r="134" spans="1:6" ht="13">
      <c r="A134" s="283" t="s">
        <v>262</v>
      </c>
      <c r="B134" s="308">
        <v>1.9</v>
      </c>
      <c r="C134" s="311">
        <v>2300</v>
      </c>
      <c r="D134" s="273">
        <v>840</v>
      </c>
      <c r="E134" s="274" t="str">
        <f t="shared" si="2"/>
        <v/>
      </c>
      <c r="F134" s="281"/>
    </row>
    <row r="135" spans="1:6" ht="13">
      <c r="A135" s="283" t="s">
        <v>239</v>
      </c>
      <c r="B135" s="308">
        <v>0.18</v>
      </c>
      <c r="C135" s="311">
        <v>600</v>
      </c>
      <c r="D135" s="273"/>
      <c r="E135" s="274" t="str">
        <f t="shared" si="2"/>
        <v/>
      </c>
      <c r="F135" s="281"/>
    </row>
    <row r="136" spans="1:6" ht="13">
      <c r="A136" s="283" t="s">
        <v>191</v>
      </c>
      <c r="B136" s="308">
        <v>1.5</v>
      </c>
      <c r="C136" s="311">
        <v>2100</v>
      </c>
      <c r="D136" s="273"/>
      <c r="E136" s="274" t="str">
        <f t="shared" si="2"/>
        <v/>
      </c>
      <c r="F136" s="281"/>
    </row>
    <row r="137" spans="1:6" ht="13">
      <c r="A137" s="272" t="s">
        <v>352</v>
      </c>
      <c r="B137" s="308">
        <v>0.96</v>
      </c>
      <c r="C137" s="311"/>
      <c r="D137" s="273"/>
      <c r="E137" s="274" t="str">
        <f t="shared" si="2"/>
        <v/>
      </c>
      <c r="F137" s="281"/>
    </row>
    <row r="138" spans="1:6" ht="13">
      <c r="A138" s="279" t="s">
        <v>190</v>
      </c>
      <c r="B138" s="308">
        <v>0.2</v>
      </c>
      <c r="C138" s="311">
        <v>600</v>
      </c>
      <c r="D138" s="280"/>
      <c r="E138" s="274" t="str">
        <f t="shared" si="2"/>
        <v/>
      </c>
      <c r="F138" s="281"/>
    </row>
    <row r="139" spans="1:6" ht="13">
      <c r="A139" s="272" t="s">
        <v>513</v>
      </c>
      <c r="B139" s="308"/>
      <c r="C139" s="311" t="s">
        <v>656</v>
      </c>
      <c r="D139" s="273"/>
      <c r="E139" s="274" t="str">
        <f t="shared" si="2"/>
        <v/>
      </c>
      <c r="F139" s="281"/>
    </row>
    <row r="140" spans="1:6" ht="13">
      <c r="A140" s="272" t="s">
        <v>351</v>
      </c>
      <c r="B140" s="308">
        <v>0.75</v>
      </c>
      <c r="C140" s="311"/>
      <c r="D140" s="273"/>
      <c r="E140" s="274" t="str">
        <f t="shared" si="2"/>
        <v/>
      </c>
      <c r="F140" s="281"/>
    </row>
    <row r="141" spans="1:6" ht="13">
      <c r="A141" s="272" t="s">
        <v>353</v>
      </c>
      <c r="B141" s="308">
        <v>0.41</v>
      </c>
      <c r="C141" s="311">
        <v>8890</v>
      </c>
      <c r="D141" s="273"/>
      <c r="E141" s="274" t="str">
        <f t="shared" si="2"/>
        <v/>
      </c>
      <c r="F141" s="281"/>
    </row>
    <row r="142" spans="1:6" ht="13">
      <c r="A142" s="272" t="s">
        <v>514</v>
      </c>
      <c r="B142" s="308"/>
      <c r="C142" s="311" t="s">
        <v>657</v>
      </c>
      <c r="D142" s="273"/>
      <c r="E142" s="274" t="str">
        <f t="shared" si="2"/>
        <v/>
      </c>
      <c r="F142" s="281"/>
    </row>
    <row r="143" spans="1:6" ht="13">
      <c r="A143" s="283" t="s">
        <v>192</v>
      </c>
      <c r="B143" s="308">
        <v>384</v>
      </c>
      <c r="C143" s="311">
        <v>8600</v>
      </c>
      <c r="D143" s="273">
        <v>390</v>
      </c>
      <c r="E143" s="274" t="str">
        <f t="shared" si="2"/>
        <v/>
      </c>
      <c r="F143" s="281"/>
    </row>
    <row r="144" spans="1:6" ht="13">
      <c r="A144" s="283" t="s">
        <v>194</v>
      </c>
      <c r="B144" s="308">
        <v>7.0000000000000007E-2</v>
      </c>
      <c r="C144" s="311">
        <v>250</v>
      </c>
      <c r="D144" s="273"/>
      <c r="E144" s="274" t="str">
        <f t="shared" si="2"/>
        <v/>
      </c>
      <c r="F144" s="281"/>
    </row>
    <row r="145" spans="1:6" ht="13">
      <c r="A145" s="302"/>
      <c r="B145" s="308"/>
      <c r="C145" s="311"/>
      <c r="D145" s="273"/>
      <c r="E145" s="274"/>
      <c r="F145" s="281"/>
    </row>
    <row r="146" spans="1:6">
      <c r="A146" s="272"/>
      <c r="B146" s="308"/>
      <c r="C146" s="311"/>
      <c r="D146" s="273"/>
      <c r="E146" s="274"/>
      <c r="F146" s="281"/>
    </row>
    <row r="147" spans="1:6" ht="13">
      <c r="A147" s="272" t="s">
        <v>515</v>
      </c>
      <c r="B147" s="308"/>
      <c r="C147" s="311">
        <v>550</v>
      </c>
      <c r="D147" s="273"/>
      <c r="E147" s="274" t="str">
        <f t="shared" si="2"/>
        <v/>
      </c>
      <c r="F147" s="281"/>
    </row>
    <row r="148" spans="1:6" ht="13">
      <c r="A148" s="279" t="s">
        <v>193</v>
      </c>
      <c r="B148" s="308">
        <v>4.2999999999999997E-2</v>
      </c>
      <c r="C148" s="311">
        <v>150</v>
      </c>
      <c r="D148" s="280"/>
      <c r="E148" s="274" t="str">
        <f t="shared" si="2"/>
        <v/>
      </c>
      <c r="F148" s="281"/>
    </row>
    <row r="149" spans="1:6" ht="13">
      <c r="A149" s="272" t="s">
        <v>354</v>
      </c>
      <c r="B149" s="308">
        <v>0.42</v>
      </c>
      <c r="C149" s="311">
        <v>4000</v>
      </c>
      <c r="D149" s="273"/>
      <c r="E149" s="274" t="str">
        <f t="shared" si="2"/>
        <v/>
      </c>
      <c r="F149" s="281"/>
    </row>
    <row r="150" spans="1:6" ht="13">
      <c r="A150" s="272" t="s">
        <v>355</v>
      </c>
      <c r="B150" s="308"/>
      <c r="C150" s="311"/>
      <c r="D150" s="273"/>
      <c r="E150" s="274" t="str">
        <f t="shared" si="2"/>
        <v/>
      </c>
      <c r="F150" s="281"/>
    </row>
    <row r="151" spans="1:6" ht="13">
      <c r="A151" s="283" t="s">
        <v>195</v>
      </c>
      <c r="B151" s="308">
        <v>2.9000000000000001E-2</v>
      </c>
      <c r="C151" s="311"/>
      <c r="D151" s="273"/>
      <c r="E151" s="274" t="str">
        <f t="shared" si="2"/>
        <v/>
      </c>
      <c r="F151" s="281"/>
    </row>
    <row r="152" spans="1:6" ht="13">
      <c r="A152" s="272" t="s">
        <v>516</v>
      </c>
      <c r="B152" s="308"/>
      <c r="C152" s="311"/>
      <c r="D152" s="273"/>
      <c r="E152" s="274" t="str">
        <f t="shared" si="2"/>
        <v/>
      </c>
      <c r="F152" s="281"/>
    </row>
    <row r="153" spans="1:6" ht="13">
      <c r="A153" s="302" t="s">
        <v>787</v>
      </c>
      <c r="B153" s="308">
        <v>2</v>
      </c>
      <c r="C153" s="311">
        <v>1700</v>
      </c>
      <c r="D153" s="273"/>
      <c r="E153" s="274" t="str">
        <f t="shared" si="2"/>
        <v/>
      </c>
      <c r="F153" s="281"/>
    </row>
    <row r="154" spans="1:6" ht="13">
      <c r="A154" s="272" t="s">
        <v>356</v>
      </c>
      <c r="B154" s="308">
        <v>0.63</v>
      </c>
      <c r="C154" s="311">
        <v>3200</v>
      </c>
      <c r="D154" s="273"/>
      <c r="E154" s="274" t="str">
        <f t="shared" si="2"/>
        <v/>
      </c>
      <c r="F154" s="281"/>
    </row>
    <row r="155" spans="1:6" ht="13">
      <c r="A155" s="302"/>
      <c r="B155" s="308"/>
      <c r="C155" s="311"/>
      <c r="D155" s="273"/>
      <c r="E155" s="274"/>
      <c r="F155" s="281"/>
    </row>
    <row r="156" spans="1:6" ht="13">
      <c r="A156" s="272" t="s">
        <v>518</v>
      </c>
      <c r="B156" s="308"/>
      <c r="C156" s="311">
        <v>2800</v>
      </c>
      <c r="D156" s="273"/>
      <c r="E156" s="274" t="str">
        <f t="shared" si="2"/>
        <v/>
      </c>
      <c r="F156" s="281"/>
    </row>
    <row r="157" spans="1:6" ht="13">
      <c r="A157" s="272" t="s">
        <v>357</v>
      </c>
      <c r="B157" s="308">
        <v>0.92</v>
      </c>
      <c r="C157" s="311"/>
      <c r="D157" s="273"/>
      <c r="E157" s="274" t="str">
        <f t="shared" si="2"/>
        <v/>
      </c>
      <c r="F157" s="281"/>
    </row>
    <row r="158" spans="1:6" ht="13">
      <c r="A158" s="272" t="s">
        <v>358</v>
      </c>
      <c r="B158" s="308">
        <v>0.92</v>
      </c>
      <c r="C158" s="311">
        <v>2800</v>
      </c>
      <c r="D158" s="273"/>
      <c r="E158" s="274" t="str">
        <f t="shared" si="2"/>
        <v/>
      </c>
      <c r="F158" s="281"/>
    </row>
    <row r="159" spans="1:6" ht="13">
      <c r="A159" s="272" t="s">
        <v>196</v>
      </c>
      <c r="B159" s="308">
        <v>1.26</v>
      </c>
      <c r="C159" s="311"/>
      <c r="D159" s="273"/>
      <c r="E159" s="274" t="str">
        <f t="shared" si="2"/>
        <v/>
      </c>
      <c r="F159" s="281"/>
    </row>
    <row r="160" spans="1:6" ht="13">
      <c r="A160" s="272" t="s">
        <v>519</v>
      </c>
      <c r="B160" s="308">
        <v>1.26</v>
      </c>
      <c r="C160" s="311"/>
      <c r="D160" s="273"/>
      <c r="E160" s="274" t="str">
        <f t="shared" si="2"/>
        <v/>
      </c>
      <c r="F160" s="281"/>
    </row>
    <row r="161" spans="1:6" ht="13">
      <c r="A161" s="272" t="s">
        <v>520</v>
      </c>
      <c r="B161" s="308">
        <v>1.26</v>
      </c>
      <c r="C161" s="311"/>
      <c r="D161" s="273"/>
      <c r="E161" s="274" t="str">
        <f t="shared" si="2"/>
        <v/>
      </c>
      <c r="F161" s="281"/>
    </row>
    <row r="162" spans="1:6" ht="13">
      <c r="A162" s="272" t="s">
        <v>521</v>
      </c>
      <c r="B162" s="308"/>
      <c r="C162" s="311">
        <v>1150</v>
      </c>
      <c r="D162" s="273"/>
      <c r="E162" s="274" t="str">
        <f t="shared" si="2"/>
        <v/>
      </c>
      <c r="F162" s="281"/>
    </row>
    <row r="163" spans="1:6" ht="13">
      <c r="A163" s="272" t="s">
        <v>359</v>
      </c>
      <c r="B163" s="308">
        <v>1</v>
      </c>
      <c r="C163" s="311">
        <v>1800</v>
      </c>
      <c r="D163" s="273"/>
      <c r="E163" s="274" t="str">
        <f t="shared" si="2"/>
        <v/>
      </c>
      <c r="F163" s="281"/>
    </row>
    <row r="164" spans="1:6" ht="13">
      <c r="A164" s="272" t="s">
        <v>360</v>
      </c>
      <c r="B164" s="308">
        <v>0.96</v>
      </c>
      <c r="C164" s="311">
        <v>4000</v>
      </c>
      <c r="D164" s="273"/>
      <c r="E164" s="274" t="str">
        <f t="shared" si="2"/>
        <v/>
      </c>
      <c r="F164" s="281"/>
    </row>
    <row r="165" spans="1:6" ht="13">
      <c r="A165" s="272" t="s">
        <v>522</v>
      </c>
      <c r="B165" s="308"/>
      <c r="C165" s="311" t="s">
        <v>658</v>
      </c>
      <c r="D165" s="273"/>
      <c r="E165" s="274" t="str">
        <f t="shared" si="2"/>
        <v/>
      </c>
      <c r="F165" s="281"/>
    </row>
    <row r="166" spans="1:6" ht="13">
      <c r="A166" s="272" t="s">
        <v>523</v>
      </c>
      <c r="B166" s="308"/>
      <c r="C166" s="311" t="s">
        <v>659</v>
      </c>
      <c r="D166" s="273"/>
      <c r="E166" s="274" t="str">
        <f t="shared" si="2"/>
        <v/>
      </c>
      <c r="F166" s="281"/>
    </row>
    <row r="167" spans="1:6" ht="13">
      <c r="A167" s="272" t="s">
        <v>524</v>
      </c>
      <c r="B167" s="308"/>
      <c r="C167" s="311">
        <v>1500</v>
      </c>
      <c r="D167" s="273"/>
      <c r="E167" s="274" t="str">
        <f t="shared" si="2"/>
        <v/>
      </c>
      <c r="F167" s="281"/>
    </row>
    <row r="168" spans="1:6" ht="13">
      <c r="A168" s="272" t="s">
        <v>525</v>
      </c>
      <c r="B168" s="308"/>
      <c r="C168" s="311" t="s">
        <v>660</v>
      </c>
      <c r="D168" s="273"/>
      <c r="E168" s="274" t="str">
        <f t="shared" si="2"/>
        <v/>
      </c>
      <c r="F168" s="281"/>
    </row>
    <row r="169" spans="1:6" ht="13">
      <c r="A169" s="272" t="s">
        <v>361</v>
      </c>
      <c r="B169" s="308"/>
      <c r="C169" s="311"/>
      <c r="D169" s="273"/>
      <c r="E169" s="274" t="str">
        <f t="shared" si="2"/>
        <v/>
      </c>
      <c r="F169" s="281"/>
    </row>
    <row r="170" spans="1:6" ht="13">
      <c r="A170" s="272" t="s">
        <v>526</v>
      </c>
      <c r="B170" s="308"/>
      <c r="C170" s="311" t="s">
        <v>648</v>
      </c>
      <c r="D170" s="273"/>
      <c r="E170" s="274" t="str">
        <f t="shared" si="2"/>
        <v/>
      </c>
      <c r="F170" s="281"/>
    </row>
    <row r="171" spans="1:6">
      <c r="A171" s="283"/>
      <c r="B171" s="308"/>
      <c r="C171" s="311"/>
      <c r="D171" s="273"/>
      <c r="E171" s="274"/>
      <c r="F171" s="281"/>
    </row>
    <row r="172" spans="1:6" ht="13">
      <c r="A172" s="279" t="s">
        <v>799</v>
      </c>
      <c r="B172" s="308">
        <v>0.32</v>
      </c>
      <c r="C172" s="311">
        <v>1000</v>
      </c>
      <c r="D172" s="280"/>
      <c r="E172" s="274" t="str">
        <f t="shared" si="2"/>
        <v/>
      </c>
      <c r="F172" s="281"/>
    </row>
    <row r="173" spans="1:6" ht="13">
      <c r="A173" s="272" t="s">
        <v>363</v>
      </c>
      <c r="B173" s="308">
        <v>2.1</v>
      </c>
      <c r="C173" s="311"/>
      <c r="D173" s="273"/>
      <c r="E173" s="274" t="str">
        <f t="shared" si="2"/>
        <v/>
      </c>
      <c r="F173" s="281"/>
    </row>
    <row r="174" spans="1:6" ht="13">
      <c r="A174" s="272" t="s">
        <v>362</v>
      </c>
      <c r="B174" s="308">
        <v>2.5</v>
      </c>
      <c r="C174" s="311"/>
      <c r="D174" s="273"/>
      <c r="E174" s="274" t="str">
        <f t="shared" si="2"/>
        <v/>
      </c>
      <c r="F174" s="281"/>
    </row>
    <row r="175" spans="1:6" ht="13">
      <c r="A175" s="302"/>
      <c r="B175" s="414"/>
      <c r="C175" s="415"/>
      <c r="D175" s="313"/>
      <c r="E175" s="274"/>
    </row>
    <row r="176" spans="1:6" ht="13">
      <c r="A176" s="302" t="s">
        <v>745</v>
      </c>
      <c r="B176" s="308">
        <v>0.1</v>
      </c>
      <c r="C176" s="311">
        <v>300</v>
      </c>
      <c r="D176" s="273"/>
      <c r="E176" s="274" t="str">
        <f t="shared" si="2"/>
        <v/>
      </c>
    </row>
    <row r="177" spans="1:7" ht="13">
      <c r="A177" s="279" t="s">
        <v>198</v>
      </c>
      <c r="B177" s="308">
        <v>4.8000000000000001E-2</v>
      </c>
      <c r="C177" s="311"/>
      <c r="D177" s="280"/>
      <c r="E177" s="274" t="str">
        <f t="shared" si="2"/>
        <v/>
      </c>
    </row>
    <row r="178" spans="1:7" ht="13">
      <c r="A178" s="283" t="s">
        <v>197</v>
      </c>
      <c r="B178" s="308">
        <v>0.04</v>
      </c>
      <c r="C178" s="415">
        <v>1500</v>
      </c>
      <c r="D178" s="273"/>
      <c r="E178" s="274" t="str">
        <f t="shared" si="2"/>
        <v/>
      </c>
      <c r="F178" s="285"/>
      <c r="G178" s="286"/>
    </row>
    <row r="179" spans="1:7" ht="13">
      <c r="A179" s="272" t="s">
        <v>364</v>
      </c>
      <c r="B179" s="308">
        <v>1.05</v>
      </c>
      <c r="C179" s="311" t="s">
        <v>661</v>
      </c>
      <c r="D179" s="273"/>
      <c r="E179" s="274" t="str">
        <f t="shared" si="2"/>
        <v/>
      </c>
      <c r="F179" s="285"/>
      <c r="G179" s="286"/>
    </row>
    <row r="180" spans="1:7" ht="13">
      <c r="A180" s="283" t="s">
        <v>199</v>
      </c>
      <c r="B180" s="308">
        <v>1.4</v>
      </c>
      <c r="C180" s="311"/>
      <c r="D180" s="273"/>
      <c r="E180" s="274" t="str">
        <f t="shared" si="2"/>
        <v/>
      </c>
      <c r="F180" s="285"/>
      <c r="G180" s="286"/>
    </row>
    <row r="181" spans="1:7" ht="13">
      <c r="A181" s="272" t="s">
        <v>527</v>
      </c>
      <c r="B181" s="308"/>
      <c r="C181" s="311">
        <v>2600</v>
      </c>
      <c r="D181" s="273"/>
      <c r="E181" s="274" t="str">
        <f t="shared" si="2"/>
        <v/>
      </c>
      <c r="F181" s="285"/>
      <c r="G181" s="286"/>
    </row>
    <row r="182" spans="1:7" ht="13">
      <c r="A182" s="302" t="s">
        <v>790</v>
      </c>
      <c r="B182" s="308">
        <v>1.5</v>
      </c>
      <c r="C182" s="311">
        <v>2000</v>
      </c>
      <c r="D182" s="273"/>
      <c r="E182" s="274" t="str">
        <f t="shared" si="2"/>
        <v/>
      </c>
      <c r="F182" s="285"/>
      <c r="G182" s="286"/>
    </row>
    <row r="183" spans="1:7" ht="13">
      <c r="A183" s="272" t="s">
        <v>365</v>
      </c>
      <c r="B183" s="308">
        <v>0.92</v>
      </c>
      <c r="C183" s="311">
        <v>3200</v>
      </c>
      <c r="D183" s="273"/>
      <c r="E183" s="274" t="str">
        <f t="shared" si="2"/>
        <v/>
      </c>
      <c r="F183" s="285"/>
      <c r="G183" s="286"/>
    </row>
    <row r="184" spans="1:7" ht="13">
      <c r="A184" s="272" t="s">
        <v>366</v>
      </c>
      <c r="B184" s="308">
        <v>0.88</v>
      </c>
      <c r="C184" s="311"/>
      <c r="D184" s="273"/>
      <c r="E184" s="274" t="str">
        <f t="shared" si="2"/>
        <v/>
      </c>
      <c r="F184" s="285"/>
      <c r="G184" s="286"/>
    </row>
    <row r="185" spans="1:7" ht="13">
      <c r="A185" s="283" t="s">
        <v>852</v>
      </c>
      <c r="B185" s="308">
        <v>0.03</v>
      </c>
      <c r="C185" s="311">
        <v>75</v>
      </c>
      <c r="D185" s="273"/>
      <c r="E185" s="274" t="str">
        <f t="shared" si="2"/>
        <v/>
      </c>
      <c r="F185" s="285"/>
      <c r="G185" s="286"/>
    </row>
    <row r="186" spans="1:7" ht="13">
      <c r="A186" s="302"/>
      <c r="B186" s="308"/>
      <c r="C186" s="311"/>
      <c r="D186" s="273"/>
      <c r="E186" s="274" t="str">
        <f t="shared" si="2"/>
        <v/>
      </c>
      <c r="F186" s="285"/>
      <c r="G186" s="286"/>
    </row>
    <row r="187" spans="1:7" ht="13">
      <c r="A187" s="272" t="s">
        <v>367</v>
      </c>
      <c r="B187" s="308">
        <v>0.21</v>
      </c>
      <c r="C187" s="311" t="s">
        <v>662</v>
      </c>
      <c r="D187" s="273"/>
      <c r="E187" s="274" t="str">
        <f t="shared" si="2"/>
        <v/>
      </c>
      <c r="F187" s="285"/>
      <c r="G187" s="286"/>
    </row>
    <row r="188" spans="1:7" ht="13">
      <c r="A188" s="272" t="s">
        <v>528</v>
      </c>
      <c r="B188" s="308"/>
      <c r="C188" s="311">
        <v>5900</v>
      </c>
      <c r="D188" s="273"/>
      <c r="E188" s="274" t="str">
        <f t="shared" si="2"/>
        <v/>
      </c>
      <c r="F188" s="285"/>
      <c r="G188" s="286"/>
    </row>
    <row r="189" spans="1:7" ht="13">
      <c r="A189" s="272" t="s">
        <v>529</v>
      </c>
      <c r="B189" s="308"/>
      <c r="C189" s="311">
        <v>1200</v>
      </c>
      <c r="D189" s="273"/>
      <c r="E189" s="274" t="str">
        <f t="shared" si="2"/>
        <v/>
      </c>
      <c r="F189" s="285"/>
      <c r="G189" s="286"/>
    </row>
    <row r="190" spans="1:7" ht="13">
      <c r="A190" s="272" t="s">
        <v>368</v>
      </c>
      <c r="B190" s="308">
        <v>0.75</v>
      </c>
      <c r="C190" s="311" t="s">
        <v>663</v>
      </c>
      <c r="D190" s="273"/>
      <c r="E190" s="274" t="str">
        <f t="shared" si="2"/>
        <v/>
      </c>
      <c r="F190" s="285"/>
      <c r="G190" s="286"/>
    </row>
    <row r="191" spans="1:7" ht="13">
      <c r="A191" s="272" t="s">
        <v>530</v>
      </c>
      <c r="B191" s="308"/>
      <c r="C191" s="311">
        <v>1900</v>
      </c>
      <c r="D191" s="273"/>
      <c r="E191" s="274" t="str">
        <f t="shared" si="2"/>
        <v/>
      </c>
      <c r="F191" s="285"/>
      <c r="G191" s="286"/>
    </row>
    <row r="192" spans="1:7" ht="13">
      <c r="A192" s="272" t="s">
        <v>531</v>
      </c>
      <c r="B192" s="308"/>
      <c r="C192" s="311">
        <v>1300</v>
      </c>
      <c r="D192" s="273"/>
      <c r="E192" s="274" t="str">
        <f t="shared" si="2"/>
        <v/>
      </c>
      <c r="F192" s="285"/>
      <c r="G192" s="286"/>
    </row>
    <row r="193" spans="1:7" ht="13">
      <c r="A193" s="272" t="s">
        <v>532</v>
      </c>
      <c r="B193" s="308"/>
      <c r="C193" s="311">
        <v>5320</v>
      </c>
      <c r="D193" s="273"/>
      <c r="E193" s="274" t="str">
        <f t="shared" si="2"/>
        <v/>
      </c>
      <c r="F193" s="285"/>
      <c r="G193" s="286"/>
    </row>
    <row r="194" spans="1:7" ht="13">
      <c r="A194" s="302" t="s">
        <v>200</v>
      </c>
      <c r="B194" s="308">
        <v>0.8</v>
      </c>
      <c r="C194" s="311">
        <v>2500</v>
      </c>
      <c r="D194" s="273"/>
      <c r="E194" s="274" t="str">
        <f t="shared" ref="E194:E257" si="3">IF(A194=A195,"#","")</f>
        <v/>
      </c>
      <c r="F194" s="285"/>
      <c r="G194" s="286"/>
    </row>
    <row r="195" spans="1:7" ht="13">
      <c r="A195" s="272" t="s">
        <v>373</v>
      </c>
      <c r="B195" s="308">
        <v>0.67</v>
      </c>
      <c r="C195" s="311">
        <v>25</v>
      </c>
      <c r="D195" s="273"/>
      <c r="E195" s="274" t="str">
        <f t="shared" si="3"/>
        <v/>
      </c>
      <c r="F195" s="285"/>
      <c r="G195" s="286"/>
    </row>
    <row r="196" spans="1:7" ht="13">
      <c r="A196" s="272" t="s">
        <v>533</v>
      </c>
      <c r="B196" s="308"/>
      <c r="C196" s="311" t="s">
        <v>664</v>
      </c>
      <c r="D196" s="273"/>
      <c r="E196" s="274" t="str">
        <f t="shared" si="3"/>
        <v/>
      </c>
      <c r="F196" s="285"/>
      <c r="G196" s="286"/>
    </row>
    <row r="197" spans="1:7" ht="13">
      <c r="A197" s="272" t="s">
        <v>369</v>
      </c>
      <c r="B197" s="308">
        <v>0.5</v>
      </c>
      <c r="C197" s="311"/>
      <c r="D197" s="273"/>
      <c r="E197" s="274" t="str">
        <f t="shared" si="3"/>
        <v/>
      </c>
      <c r="F197" s="285"/>
      <c r="G197" s="286"/>
    </row>
    <row r="198" spans="1:7" ht="13">
      <c r="A198" s="272" t="s">
        <v>534</v>
      </c>
      <c r="B198" s="308"/>
      <c r="C198" s="311" t="s">
        <v>665</v>
      </c>
      <c r="D198" s="273"/>
      <c r="E198" s="274" t="str">
        <f t="shared" si="3"/>
        <v/>
      </c>
      <c r="F198" s="285"/>
      <c r="G198" s="286"/>
    </row>
    <row r="199" spans="1:7" ht="13">
      <c r="A199" s="272" t="s">
        <v>370</v>
      </c>
      <c r="B199" s="308">
        <v>0.5</v>
      </c>
      <c r="C199" s="311"/>
      <c r="D199" s="273"/>
      <c r="E199" s="274" t="str">
        <f t="shared" si="3"/>
        <v/>
      </c>
      <c r="F199" s="285"/>
      <c r="G199" s="286"/>
    </row>
    <row r="200" spans="1:7" ht="13">
      <c r="A200" s="272" t="s">
        <v>371</v>
      </c>
      <c r="B200" s="308">
        <v>0.75</v>
      </c>
      <c r="C200" s="311">
        <v>2000</v>
      </c>
      <c r="D200" s="273"/>
      <c r="E200" s="274" t="str">
        <f t="shared" si="3"/>
        <v/>
      </c>
      <c r="F200" s="285"/>
      <c r="G200" s="286"/>
    </row>
    <row r="201" spans="1:7" ht="13">
      <c r="A201" s="272" t="s">
        <v>372</v>
      </c>
      <c r="B201" s="308">
        <v>0.84</v>
      </c>
      <c r="C201" s="311"/>
      <c r="D201" s="273"/>
      <c r="E201" s="274" t="str">
        <f t="shared" si="3"/>
        <v/>
      </c>
      <c r="F201" s="285"/>
      <c r="G201" s="286"/>
    </row>
    <row r="202" spans="1:7" ht="13">
      <c r="A202" s="272" t="s">
        <v>535</v>
      </c>
      <c r="B202" s="308">
        <v>0.82199999999999995</v>
      </c>
      <c r="C202" s="311">
        <v>1300</v>
      </c>
      <c r="D202" s="273"/>
      <c r="E202" s="274" t="str">
        <f t="shared" si="3"/>
        <v/>
      </c>
      <c r="F202" s="285"/>
      <c r="G202" s="286"/>
    </row>
    <row r="203" spans="1:7" ht="13">
      <c r="A203" s="272" t="s">
        <v>536</v>
      </c>
      <c r="B203" s="308"/>
      <c r="C203" s="311">
        <v>2690</v>
      </c>
      <c r="D203" s="273"/>
      <c r="E203" s="274" t="str">
        <f t="shared" si="3"/>
        <v/>
      </c>
      <c r="F203" s="285"/>
      <c r="G203" s="286"/>
    </row>
    <row r="204" spans="1:7" ht="13">
      <c r="A204" s="283" t="s">
        <v>176</v>
      </c>
      <c r="B204" s="308">
        <v>310</v>
      </c>
      <c r="C204" s="311">
        <v>19290</v>
      </c>
      <c r="D204" s="273"/>
      <c r="E204" s="274" t="str">
        <f t="shared" si="3"/>
        <v/>
      </c>
      <c r="F204" s="285"/>
      <c r="G204" s="286"/>
    </row>
    <row r="205" spans="1:7" ht="13">
      <c r="A205" s="283" t="s">
        <v>201</v>
      </c>
      <c r="B205" s="308">
        <v>3.49</v>
      </c>
      <c r="C205" s="311">
        <v>2880</v>
      </c>
      <c r="D205" s="273">
        <v>840</v>
      </c>
      <c r="E205" s="274" t="str">
        <f t="shared" si="3"/>
        <v/>
      </c>
      <c r="F205" s="285"/>
      <c r="G205" s="286"/>
    </row>
    <row r="206" spans="1:7" ht="13">
      <c r="A206" s="272" t="s">
        <v>374</v>
      </c>
      <c r="B206" s="308">
        <v>0.71</v>
      </c>
      <c r="C206" s="311" t="s">
        <v>630</v>
      </c>
      <c r="D206" s="273"/>
      <c r="E206" s="274" t="str">
        <f t="shared" si="3"/>
        <v/>
      </c>
      <c r="F206" s="285"/>
      <c r="G206" s="286"/>
    </row>
    <row r="207" spans="1:7" ht="13">
      <c r="A207" s="283" t="s">
        <v>202</v>
      </c>
      <c r="B207" s="308">
        <v>0.7</v>
      </c>
      <c r="C207" s="311"/>
      <c r="D207" s="273"/>
      <c r="E207" s="274" t="str">
        <f t="shared" si="3"/>
        <v/>
      </c>
      <c r="F207" s="285"/>
      <c r="G207" s="286"/>
    </row>
    <row r="208" spans="1:7" ht="13">
      <c r="A208" s="302" t="s">
        <v>702</v>
      </c>
      <c r="B208" s="308">
        <v>2</v>
      </c>
      <c r="C208" s="311">
        <v>2400</v>
      </c>
      <c r="D208" s="313"/>
      <c r="E208" s="274" t="str">
        <f t="shared" si="3"/>
        <v/>
      </c>
      <c r="F208" s="285"/>
      <c r="G208" s="286"/>
    </row>
    <row r="209" spans="1:15" ht="13">
      <c r="A209" s="272" t="s">
        <v>537</v>
      </c>
      <c r="B209" s="308"/>
      <c r="C209" s="311" t="s">
        <v>666</v>
      </c>
      <c r="D209" s="273"/>
      <c r="E209" s="274" t="str">
        <f t="shared" si="3"/>
        <v/>
      </c>
      <c r="F209" s="285"/>
      <c r="G209" s="286"/>
    </row>
    <row r="210" spans="1:15" ht="13">
      <c r="A210" s="272" t="s">
        <v>375</v>
      </c>
      <c r="B210" s="308">
        <v>0.42</v>
      </c>
      <c r="C210" s="311">
        <v>1200</v>
      </c>
      <c r="D210" s="273">
        <v>840</v>
      </c>
      <c r="E210" s="274" t="str">
        <f t="shared" si="3"/>
        <v/>
      </c>
      <c r="F210" s="285"/>
      <c r="G210" s="286"/>
    </row>
    <row r="211" spans="1:15" ht="13">
      <c r="A211" s="302" t="s">
        <v>728</v>
      </c>
      <c r="B211" s="308">
        <v>0.3</v>
      </c>
      <c r="C211" s="311">
        <v>1100</v>
      </c>
      <c r="D211" s="273"/>
      <c r="E211" s="274" t="str">
        <f t="shared" si="3"/>
        <v/>
      </c>
      <c r="F211" s="285"/>
      <c r="G211" s="286"/>
    </row>
    <row r="212" spans="1:15" ht="13">
      <c r="A212" s="302" t="s">
        <v>731</v>
      </c>
      <c r="B212" s="308">
        <v>0.2</v>
      </c>
      <c r="C212" s="311">
        <v>900</v>
      </c>
      <c r="D212" s="273"/>
      <c r="E212" s="274" t="str">
        <f t="shared" si="3"/>
        <v/>
      </c>
      <c r="F212" s="285"/>
      <c r="G212" s="286"/>
    </row>
    <row r="213" spans="1:15" ht="13">
      <c r="A213" s="272" t="s">
        <v>376</v>
      </c>
      <c r="B213" s="308">
        <v>2.1</v>
      </c>
      <c r="C213" s="311"/>
      <c r="D213" s="273"/>
      <c r="E213" s="274" t="str">
        <f t="shared" si="3"/>
        <v/>
      </c>
      <c r="F213" s="285"/>
      <c r="G213" s="286"/>
    </row>
    <row r="214" spans="1:15" ht="13">
      <c r="A214" s="302" t="s">
        <v>751</v>
      </c>
      <c r="B214" s="308">
        <v>0.3</v>
      </c>
      <c r="C214" s="311">
        <v>1000</v>
      </c>
      <c r="D214" s="273"/>
      <c r="E214" s="274" t="str">
        <f t="shared" si="3"/>
        <v/>
      </c>
      <c r="F214" s="285"/>
      <c r="G214" s="286"/>
    </row>
    <row r="215" spans="1:15" ht="13">
      <c r="A215" s="283" t="s">
        <v>631</v>
      </c>
      <c r="B215" s="308" t="s">
        <v>632</v>
      </c>
      <c r="C215" s="311">
        <v>600</v>
      </c>
      <c r="D215" s="273">
        <v>2000</v>
      </c>
      <c r="E215" s="274" t="str">
        <f t="shared" si="3"/>
        <v/>
      </c>
      <c r="F215" s="285"/>
      <c r="G215" s="286"/>
    </row>
    <row r="216" spans="1:15" ht="13">
      <c r="A216" s="302" t="s">
        <v>749</v>
      </c>
      <c r="B216" s="308">
        <v>0.17</v>
      </c>
      <c r="C216" s="311">
        <v>800</v>
      </c>
      <c r="D216" s="273"/>
      <c r="E216" s="274" t="str">
        <f t="shared" si="3"/>
        <v/>
      </c>
      <c r="F216" s="285"/>
      <c r="G216" s="286"/>
    </row>
    <row r="217" spans="1:15" ht="13">
      <c r="A217" s="283" t="s">
        <v>203</v>
      </c>
      <c r="B217" s="308">
        <v>0.16</v>
      </c>
      <c r="C217" s="311">
        <v>720</v>
      </c>
      <c r="D217" s="273">
        <v>1260</v>
      </c>
      <c r="E217" s="274" t="str">
        <f t="shared" si="3"/>
        <v/>
      </c>
      <c r="F217" s="285"/>
      <c r="G217" s="286"/>
      <c r="L217" s="297" t="s">
        <v>797</v>
      </c>
      <c r="M217" s="297" t="s">
        <v>172</v>
      </c>
    </row>
    <row r="218" spans="1:15" ht="13">
      <c r="A218" s="272" t="s">
        <v>538</v>
      </c>
      <c r="B218" s="308"/>
      <c r="C218" s="311" t="s">
        <v>667</v>
      </c>
      <c r="D218" s="273"/>
      <c r="E218" s="274" t="str">
        <f t="shared" si="3"/>
        <v/>
      </c>
      <c r="F218" s="285"/>
      <c r="G218" s="286"/>
      <c r="J218" s="298" t="s">
        <v>690</v>
      </c>
      <c r="K218" s="298" t="s">
        <v>174</v>
      </c>
      <c r="L218" s="299">
        <v>204</v>
      </c>
      <c r="M218" s="299">
        <v>2800</v>
      </c>
      <c r="N218" s="299">
        <v>204</v>
      </c>
    </row>
    <row r="219" spans="1:15" ht="13">
      <c r="A219" s="272" t="s">
        <v>377</v>
      </c>
      <c r="B219" s="308">
        <v>0.67</v>
      </c>
      <c r="C219" s="311"/>
      <c r="D219" s="273"/>
      <c r="E219" s="274" t="str">
        <f t="shared" si="3"/>
        <v/>
      </c>
      <c r="F219" s="285"/>
      <c r="G219" s="286"/>
      <c r="J219" s="300"/>
      <c r="K219" s="298" t="s">
        <v>192</v>
      </c>
      <c r="L219" s="299">
        <v>372</v>
      </c>
      <c r="M219" s="299">
        <v>9000</v>
      </c>
      <c r="N219" s="299">
        <v>372</v>
      </c>
      <c r="O219"/>
    </row>
    <row r="220" spans="1:15" ht="13">
      <c r="A220" s="272" t="s">
        <v>378</v>
      </c>
      <c r="B220" s="308">
        <v>0.84</v>
      </c>
      <c r="C220" s="311">
        <v>3000</v>
      </c>
      <c r="D220" s="273"/>
      <c r="E220" s="274" t="str">
        <f t="shared" si="3"/>
        <v/>
      </c>
      <c r="J220" s="300"/>
      <c r="K220" s="298" t="s">
        <v>179</v>
      </c>
      <c r="L220" s="299">
        <v>35</v>
      </c>
      <c r="M220" s="299">
        <v>12250</v>
      </c>
      <c r="N220" s="299">
        <v>35</v>
      </c>
      <c r="O220"/>
    </row>
    <row r="221" spans="1:15" ht="13">
      <c r="A221" s="272" t="s">
        <v>379</v>
      </c>
      <c r="B221" s="308">
        <v>0.8</v>
      </c>
      <c r="C221" s="311"/>
      <c r="D221" s="273"/>
      <c r="E221" s="274" t="str">
        <f t="shared" si="3"/>
        <v/>
      </c>
      <c r="J221" s="300"/>
      <c r="K221" s="298" t="s">
        <v>691</v>
      </c>
      <c r="L221" s="299">
        <v>52</v>
      </c>
      <c r="M221" s="299">
        <v>7800</v>
      </c>
      <c r="N221" s="299">
        <v>52</v>
      </c>
      <c r="O221"/>
    </row>
    <row r="222" spans="1:15" ht="13">
      <c r="A222" s="302" t="s">
        <v>539</v>
      </c>
      <c r="B222" s="308">
        <v>2.2000000000000002</v>
      </c>
      <c r="C222" s="311">
        <v>900</v>
      </c>
      <c r="D222" s="273"/>
      <c r="E222" s="274" t="str">
        <f t="shared" si="3"/>
        <v/>
      </c>
      <c r="J222" s="300"/>
      <c r="K222" s="298" t="s">
        <v>459</v>
      </c>
      <c r="L222" s="299">
        <v>110</v>
      </c>
      <c r="M222" s="299">
        <v>7200</v>
      </c>
      <c r="N222" s="299">
        <v>110</v>
      </c>
      <c r="O222"/>
    </row>
    <row r="223" spans="1:15" ht="13">
      <c r="A223" s="294" t="s">
        <v>380</v>
      </c>
      <c r="B223" s="308">
        <v>1.47</v>
      </c>
      <c r="C223" s="311"/>
      <c r="D223" s="273"/>
      <c r="E223" s="274" t="str">
        <f t="shared" si="3"/>
        <v/>
      </c>
      <c r="J223" s="298" t="s">
        <v>692</v>
      </c>
      <c r="K223" s="298" t="s">
        <v>693</v>
      </c>
      <c r="L223" s="299">
        <v>3.5</v>
      </c>
      <c r="M223" s="299">
        <v>3000</v>
      </c>
      <c r="N223" s="299">
        <v>3.5</v>
      </c>
    </row>
    <row r="224" spans="1:15" ht="13">
      <c r="A224" s="294" t="s">
        <v>381</v>
      </c>
      <c r="B224" s="308">
        <v>1.8</v>
      </c>
      <c r="C224" s="311"/>
      <c r="D224" s="273"/>
      <c r="E224" s="274" t="str">
        <f t="shared" si="3"/>
        <v/>
      </c>
      <c r="J224" s="300"/>
      <c r="K224" s="298" t="s">
        <v>694</v>
      </c>
      <c r="L224" s="299">
        <v>2.5</v>
      </c>
      <c r="M224" s="299">
        <v>2700</v>
      </c>
      <c r="N224" s="299">
        <v>2.5</v>
      </c>
      <c r="O224"/>
    </row>
    <row r="225" spans="1:15" ht="13">
      <c r="A225" s="294" t="s">
        <v>382</v>
      </c>
      <c r="B225" s="308">
        <v>1.97</v>
      </c>
      <c r="C225" s="311"/>
      <c r="D225" s="273"/>
      <c r="E225" s="274" t="str">
        <f t="shared" si="3"/>
        <v/>
      </c>
      <c r="J225" s="300"/>
      <c r="K225" s="298" t="s">
        <v>221</v>
      </c>
      <c r="L225" s="299">
        <v>1.6</v>
      </c>
      <c r="M225" s="299">
        <v>2600</v>
      </c>
      <c r="N225" s="299">
        <v>1.6</v>
      </c>
      <c r="O225"/>
    </row>
    <row r="226" spans="1:15" ht="13">
      <c r="A226" s="283" t="s">
        <v>204</v>
      </c>
      <c r="B226" s="308">
        <v>2.1800000000000002</v>
      </c>
      <c r="C226" s="311"/>
      <c r="D226" s="273"/>
      <c r="E226" s="274" t="str">
        <f t="shared" si="3"/>
        <v/>
      </c>
      <c r="J226" s="298" t="s">
        <v>695</v>
      </c>
      <c r="K226" s="298" t="s">
        <v>170</v>
      </c>
      <c r="L226" s="299" t="s">
        <v>697</v>
      </c>
      <c r="M226" s="299" t="s">
        <v>696</v>
      </c>
      <c r="N226" s="299" t="s">
        <v>698</v>
      </c>
    </row>
    <row r="227" spans="1:15" ht="13">
      <c r="A227" s="294" t="s">
        <v>383</v>
      </c>
      <c r="B227" s="308">
        <v>2.09</v>
      </c>
      <c r="C227" s="311"/>
      <c r="D227" s="273"/>
      <c r="E227" s="274" t="str">
        <f t="shared" si="3"/>
        <v/>
      </c>
      <c r="J227" s="300"/>
      <c r="K227" s="298" t="s">
        <v>699</v>
      </c>
      <c r="L227" s="299">
        <v>0.9</v>
      </c>
      <c r="M227" s="299">
        <v>1900</v>
      </c>
      <c r="N227" s="299">
        <v>1.4</v>
      </c>
      <c r="O227"/>
    </row>
    <row r="228" spans="1:15" ht="13">
      <c r="A228" s="272" t="s">
        <v>385</v>
      </c>
      <c r="B228" s="308">
        <v>4.0999999999999996</v>
      </c>
      <c r="C228" s="311"/>
      <c r="D228" s="273"/>
      <c r="E228" s="274" t="str">
        <f t="shared" si="3"/>
        <v/>
      </c>
      <c r="J228" s="300"/>
      <c r="K228" s="298"/>
      <c r="L228" s="299" t="s">
        <v>701</v>
      </c>
      <c r="M228" s="299" t="s">
        <v>700</v>
      </c>
      <c r="N228" s="299"/>
      <c r="O228"/>
    </row>
    <row r="229" spans="1:15" ht="13">
      <c r="A229" s="272" t="s">
        <v>384</v>
      </c>
      <c r="B229" s="308">
        <v>1.1299999999999999</v>
      </c>
      <c r="C229" s="311"/>
      <c r="D229" s="273"/>
      <c r="E229" s="274" t="str">
        <f t="shared" si="3"/>
        <v/>
      </c>
      <c r="J229" s="298" t="s">
        <v>295</v>
      </c>
      <c r="K229" s="298" t="s">
        <v>702</v>
      </c>
      <c r="L229" s="299">
        <v>2</v>
      </c>
      <c r="M229" s="299" t="s">
        <v>703</v>
      </c>
      <c r="N229" s="299">
        <v>2</v>
      </c>
    </row>
    <row r="230" spans="1:15" ht="13">
      <c r="A230" s="272" t="s">
        <v>386</v>
      </c>
      <c r="B230" s="308">
        <v>0.49</v>
      </c>
      <c r="C230" s="311"/>
      <c r="D230" s="273"/>
      <c r="E230" s="274" t="str">
        <f t="shared" si="3"/>
        <v/>
      </c>
      <c r="J230" s="300"/>
      <c r="K230" s="298" t="s">
        <v>704</v>
      </c>
      <c r="L230" s="299" t="s">
        <v>705</v>
      </c>
      <c r="M230" s="299" t="s">
        <v>696</v>
      </c>
      <c r="N230" s="299" t="s">
        <v>706</v>
      </c>
      <c r="O230"/>
    </row>
    <row r="231" spans="1:15" ht="13">
      <c r="A231" s="413"/>
      <c r="B231" s="308"/>
      <c r="C231" s="311"/>
      <c r="D231" s="273"/>
      <c r="E231" s="274" t="str">
        <f t="shared" si="3"/>
        <v/>
      </c>
      <c r="J231" s="300"/>
      <c r="K231" s="298"/>
      <c r="L231" s="299" t="s">
        <v>708</v>
      </c>
      <c r="M231" s="299" t="s">
        <v>707</v>
      </c>
      <c r="N231" s="299" t="s">
        <v>709</v>
      </c>
      <c r="O231"/>
    </row>
    <row r="232" spans="1:15" ht="13">
      <c r="A232" s="272" t="s">
        <v>387</v>
      </c>
      <c r="B232" s="308">
        <v>0.218</v>
      </c>
      <c r="C232" s="311">
        <v>5000</v>
      </c>
      <c r="D232" s="273"/>
      <c r="E232" s="274" t="str">
        <f t="shared" si="3"/>
        <v/>
      </c>
      <c r="J232" s="300"/>
      <c r="K232" s="298"/>
      <c r="L232" s="299" t="s">
        <v>711</v>
      </c>
      <c r="M232" s="299" t="s">
        <v>710</v>
      </c>
      <c r="N232" s="299"/>
      <c r="O232"/>
    </row>
    <row r="233" spans="1:15" ht="13">
      <c r="A233" s="272" t="s">
        <v>388</v>
      </c>
      <c r="B233" s="308">
        <v>0.13</v>
      </c>
      <c r="C233" s="311">
        <v>22560</v>
      </c>
      <c r="D233" s="273"/>
      <c r="E233" s="274" t="str">
        <f t="shared" si="3"/>
        <v/>
      </c>
      <c r="J233" s="300"/>
      <c r="K233" s="298" t="s">
        <v>712</v>
      </c>
      <c r="L233" s="299" t="s">
        <v>708</v>
      </c>
      <c r="M233" s="299" t="s">
        <v>700</v>
      </c>
      <c r="N233" s="299" t="s">
        <v>713</v>
      </c>
      <c r="O233"/>
    </row>
    <row r="234" spans="1:15" ht="13">
      <c r="A234" s="283" t="s">
        <v>178</v>
      </c>
      <c r="B234" s="308">
        <v>72</v>
      </c>
      <c r="C234" s="311">
        <v>7900</v>
      </c>
      <c r="D234" s="273">
        <v>530</v>
      </c>
      <c r="E234" s="274" t="str">
        <f t="shared" si="3"/>
        <v/>
      </c>
      <c r="J234" s="300"/>
      <c r="K234" s="298"/>
      <c r="L234" s="299" t="s">
        <v>715</v>
      </c>
      <c r="M234" s="299" t="s">
        <v>714</v>
      </c>
      <c r="N234" s="299"/>
      <c r="O234"/>
    </row>
    <row r="235" spans="1:15" ht="14">
      <c r="A235" s="272" t="s">
        <v>624</v>
      </c>
      <c r="B235" s="308">
        <v>0.46</v>
      </c>
      <c r="C235" s="311"/>
      <c r="D235" s="273"/>
      <c r="E235" s="274" t="str">
        <f t="shared" si="3"/>
        <v/>
      </c>
      <c r="J235" s="300"/>
      <c r="K235" s="298" t="s">
        <v>716</v>
      </c>
      <c r="L235" s="299" t="s">
        <v>711</v>
      </c>
      <c r="M235" s="299" t="s">
        <v>710</v>
      </c>
      <c r="N235" s="299"/>
      <c r="O235"/>
    </row>
    <row r="236" spans="1:15" ht="13">
      <c r="A236" s="283" t="s">
        <v>205</v>
      </c>
      <c r="B236" s="308">
        <v>56</v>
      </c>
      <c r="C236" s="311">
        <v>7500</v>
      </c>
      <c r="D236" s="273">
        <v>530</v>
      </c>
      <c r="E236" s="274" t="str">
        <f t="shared" si="3"/>
        <v/>
      </c>
      <c r="J236" s="300"/>
      <c r="K236" s="298" t="s">
        <v>717</v>
      </c>
      <c r="L236" s="299" t="s">
        <v>708</v>
      </c>
      <c r="M236" s="299" t="s">
        <v>707</v>
      </c>
      <c r="N236" s="299" t="s">
        <v>718</v>
      </c>
      <c r="O236"/>
    </row>
    <row r="237" spans="1:15" ht="13">
      <c r="A237" s="302" t="s">
        <v>716</v>
      </c>
      <c r="B237" s="308">
        <v>0.15</v>
      </c>
      <c r="C237" s="311">
        <v>500</v>
      </c>
      <c r="D237" s="313"/>
      <c r="E237" s="274" t="str">
        <f t="shared" si="3"/>
        <v/>
      </c>
      <c r="J237" s="300"/>
      <c r="K237" s="298"/>
      <c r="L237" s="299" t="s">
        <v>720</v>
      </c>
      <c r="M237" s="299" t="s">
        <v>719</v>
      </c>
      <c r="N237" s="299"/>
      <c r="O237"/>
    </row>
    <row r="238" spans="1:15" ht="13">
      <c r="A238" s="272" t="s">
        <v>540</v>
      </c>
      <c r="B238" s="308"/>
      <c r="C238" s="311" t="s">
        <v>668</v>
      </c>
      <c r="D238" s="273"/>
      <c r="E238" s="274" t="str">
        <f t="shared" si="3"/>
        <v/>
      </c>
      <c r="J238" s="300"/>
      <c r="K238" s="298" t="s">
        <v>721</v>
      </c>
      <c r="L238" s="299" t="s">
        <v>722</v>
      </c>
      <c r="M238" s="299" t="s">
        <v>696</v>
      </c>
      <c r="N238" s="299" t="s">
        <v>723</v>
      </c>
      <c r="O238"/>
    </row>
    <row r="239" spans="1:15" ht="13">
      <c r="A239" s="283" t="s">
        <v>258</v>
      </c>
      <c r="B239" s="308">
        <v>2.1000000000000001E-2</v>
      </c>
      <c r="C239" s="311"/>
      <c r="D239" s="273"/>
      <c r="E239" s="274" t="str">
        <f t="shared" si="3"/>
        <v/>
      </c>
      <c r="J239" s="300"/>
      <c r="K239" s="298"/>
      <c r="L239" s="299" t="s">
        <v>724</v>
      </c>
      <c r="M239" s="299" t="s">
        <v>707</v>
      </c>
      <c r="N239" s="299" t="s">
        <v>708</v>
      </c>
      <c r="O239"/>
    </row>
    <row r="240" spans="1:15" ht="13">
      <c r="A240" s="272" t="s">
        <v>389</v>
      </c>
      <c r="B240" s="308">
        <v>0.8</v>
      </c>
      <c r="C240" s="311"/>
      <c r="D240" s="273"/>
      <c r="E240" s="274" t="str">
        <f t="shared" si="3"/>
        <v/>
      </c>
      <c r="J240" s="298" t="s">
        <v>725</v>
      </c>
      <c r="K240" s="298" t="s">
        <v>726</v>
      </c>
      <c r="L240" s="299" t="s">
        <v>727</v>
      </c>
      <c r="M240" s="299" t="s">
        <v>696</v>
      </c>
      <c r="N240" s="299" t="s">
        <v>698</v>
      </c>
    </row>
    <row r="241" spans="1:15" ht="13">
      <c r="A241" s="272" t="s">
        <v>390</v>
      </c>
      <c r="B241" s="308">
        <v>0.84</v>
      </c>
      <c r="C241" s="311"/>
      <c r="D241" s="273"/>
      <c r="E241" s="274" t="str">
        <f t="shared" si="3"/>
        <v/>
      </c>
      <c r="J241" s="300"/>
      <c r="K241" s="298" t="s">
        <v>728</v>
      </c>
      <c r="L241" s="299" t="s">
        <v>730</v>
      </c>
      <c r="M241" s="299" t="s">
        <v>729</v>
      </c>
      <c r="N241" s="299"/>
      <c r="O241"/>
    </row>
    <row r="242" spans="1:15" ht="13">
      <c r="A242" s="272" t="s">
        <v>179</v>
      </c>
      <c r="B242" s="308">
        <v>35</v>
      </c>
      <c r="C242" s="311">
        <v>11340</v>
      </c>
      <c r="D242" s="273">
        <v>130</v>
      </c>
      <c r="E242" s="274" t="str">
        <f t="shared" si="3"/>
        <v/>
      </c>
      <c r="J242" s="300"/>
      <c r="K242" s="298" t="s">
        <v>731</v>
      </c>
      <c r="L242" s="299">
        <v>0.2</v>
      </c>
      <c r="M242" s="299">
        <v>900</v>
      </c>
      <c r="N242" s="299"/>
      <c r="O242"/>
    </row>
    <row r="243" spans="1:15" ht="13">
      <c r="A243" s="272" t="s">
        <v>517</v>
      </c>
      <c r="B243" s="308"/>
      <c r="C243" s="311">
        <v>3100</v>
      </c>
      <c r="D243" s="273"/>
      <c r="E243" s="274" t="str">
        <f t="shared" si="3"/>
        <v/>
      </c>
      <c r="J243" s="300"/>
      <c r="K243" s="298" t="s">
        <v>200</v>
      </c>
      <c r="L243" s="299">
        <v>0.8</v>
      </c>
      <c r="M243" s="299">
        <v>2500</v>
      </c>
      <c r="N243" s="299">
        <v>0.8</v>
      </c>
      <c r="O243"/>
    </row>
    <row r="244" spans="1:15" ht="13">
      <c r="A244" s="283" t="s">
        <v>206</v>
      </c>
      <c r="B244" s="308">
        <v>0.14000000000000001</v>
      </c>
      <c r="C244" s="311">
        <v>1000</v>
      </c>
      <c r="D244" s="273"/>
      <c r="E244" s="274" t="str">
        <f t="shared" si="3"/>
        <v/>
      </c>
      <c r="J244" s="300"/>
      <c r="K244" s="298" t="s">
        <v>732</v>
      </c>
      <c r="L244" s="299">
        <v>0.04</v>
      </c>
      <c r="M244" s="299">
        <v>150</v>
      </c>
      <c r="N244" s="299"/>
      <c r="O244"/>
    </row>
    <row r="245" spans="1:15" ht="13">
      <c r="A245" s="302" t="s">
        <v>704</v>
      </c>
      <c r="B245" s="308">
        <v>0.8</v>
      </c>
      <c r="C245" s="311">
        <v>1700</v>
      </c>
      <c r="D245" s="313"/>
      <c r="E245" s="274" t="str">
        <f t="shared" si="3"/>
        <v/>
      </c>
      <c r="J245" s="300"/>
      <c r="K245" s="298" t="s">
        <v>733</v>
      </c>
      <c r="L245" s="299">
        <v>0.04</v>
      </c>
      <c r="M245" s="299" t="s">
        <v>734</v>
      </c>
      <c r="N245" s="299"/>
      <c r="O245"/>
    </row>
    <row r="246" spans="1:15" ht="13">
      <c r="A246" s="302" t="s">
        <v>738</v>
      </c>
      <c r="B246" s="308">
        <v>0.7</v>
      </c>
      <c r="C246" s="311">
        <v>1600</v>
      </c>
      <c r="D246" s="273"/>
      <c r="E246" s="274" t="str">
        <f t="shared" si="3"/>
        <v/>
      </c>
      <c r="J246" s="300"/>
      <c r="K246" s="298" t="s">
        <v>735</v>
      </c>
      <c r="L246" s="299">
        <v>1.2</v>
      </c>
      <c r="M246" s="299">
        <v>2000</v>
      </c>
      <c r="N246" s="299">
        <v>1.2</v>
      </c>
      <c r="O246"/>
    </row>
    <row r="247" spans="1:15" ht="13">
      <c r="A247" s="272" t="s">
        <v>541</v>
      </c>
      <c r="B247" s="308"/>
      <c r="C247" s="311">
        <v>1350</v>
      </c>
      <c r="D247" s="273"/>
      <c r="E247" s="274" t="str">
        <f t="shared" si="3"/>
        <v/>
      </c>
      <c r="J247" s="298" t="s">
        <v>736</v>
      </c>
      <c r="K247" s="298" t="s">
        <v>737</v>
      </c>
      <c r="L247" s="299">
        <v>0.9</v>
      </c>
      <c r="M247" s="299">
        <v>1900</v>
      </c>
      <c r="N247" s="299">
        <v>1.5</v>
      </c>
    </row>
    <row r="248" spans="1:15" ht="13">
      <c r="A248" s="283" t="s">
        <v>207</v>
      </c>
      <c r="B248" s="308">
        <v>1.5</v>
      </c>
      <c r="C248" s="311">
        <v>2180</v>
      </c>
      <c r="D248" s="273">
        <v>720</v>
      </c>
      <c r="E248" s="274" t="str">
        <f t="shared" si="3"/>
        <v/>
      </c>
      <c r="J248" s="300"/>
      <c r="K248" s="298" t="s">
        <v>738</v>
      </c>
      <c r="L248" s="299">
        <v>0.7</v>
      </c>
      <c r="M248" s="299">
        <v>1600</v>
      </c>
      <c r="N248" s="299">
        <v>0.8</v>
      </c>
      <c r="O248"/>
    </row>
    <row r="249" spans="1:15" ht="13">
      <c r="A249" s="302" t="s">
        <v>542</v>
      </c>
      <c r="B249" s="308">
        <v>0.17</v>
      </c>
      <c r="C249" s="311">
        <v>1200</v>
      </c>
      <c r="D249" s="273"/>
      <c r="E249" s="274" t="str">
        <f t="shared" si="3"/>
        <v/>
      </c>
      <c r="J249" s="300"/>
      <c r="K249" s="298" t="s">
        <v>375</v>
      </c>
      <c r="L249" s="299">
        <v>0.5</v>
      </c>
      <c r="M249" s="299">
        <v>1300</v>
      </c>
      <c r="N249" s="299">
        <v>0.8</v>
      </c>
      <c r="O249"/>
    </row>
    <row r="250" spans="1:15" ht="13">
      <c r="A250" s="272" t="s">
        <v>391</v>
      </c>
      <c r="B250" s="308"/>
      <c r="C250" s="311"/>
      <c r="D250" s="273"/>
      <c r="E250" s="274" t="str">
        <f t="shared" si="3"/>
        <v/>
      </c>
      <c r="J250" s="298" t="s">
        <v>739</v>
      </c>
      <c r="K250" s="298" t="s">
        <v>740</v>
      </c>
      <c r="L250" s="299" t="s">
        <v>742</v>
      </c>
      <c r="M250" s="299" t="s">
        <v>741</v>
      </c>
      <c r="N250" s="299"/>
    </row>
    <row r="251" spans="1:15" ht="13">
      <c r="A251" s="272" t="s">
        <v>392</v>
      </c>
      <c r="B251" s="308">
        <v>3.58</v>
      </c>
      <c r="C251" s="311">
        <v>530</v>
      </c>
      <c r="D251" s="273"/>
      <c r="E251" s="274" t="str">
        <f t="shared" si="3"/>
        <v/>
      </c>
      <c r="J251" s="300"/>
      <c r="K251" s="298" t="s">
        <v>542</v>
      </c>
      <c r="L251" s="299">
        <v>0.17</v>
      </c>
      <c r="M251" s="299">
        <v>1200</v>
      </c>
      <c r="N251" s="299"/>
      <c r="O251"/>
    </row>
    <row r="252" spans="1:15" ht="13">
      <c r="A252" s="413"/>
      <c r="B252" s="308"/>
      <c r="C252" s="311"/>
      <c r="D252" s="273"/>
      <c r="E252" s="274" t="str">
        <f t="shared" si="3"/>
        <v/>
      </c>
      <c r="J252" s="300"/>
      <c r="K252" s="298" t="s">
        <v>427</v>
      </c>
      <c r="L252" s="299" t="s">
        <v>744</v>
      </c>
      <c r="M252" s="299" t="s">
        <v>743</v>
      </c>
      <c r="N252" s="299"/>
      <c r="O252"/>
    </row>
    <row r="253" spans="1:15" ht="13">
      <c r="A253" s="272" t="s">
        <v>543</v>
      </c>
      <c r="B253" s="308"/>
      <c r="C253" s="311" t="s">
        <v>669</v>
      </c>
      <c r="D253" s="273"/>
      <c r="E253" s="274" t="str">
        <f t="shared" si="3"/>
        <v/>
      </c>
      <c r="J253" s="300"/>
      <c r="K253" s="298" t="s">
        <v>745</v>
      </c>
      <c r="L253" s="299" t="s">
        <v>747</v>
      </c>
      <c r="M253" s="299" t="s">
        <v>746</v>
      </c>
      <c r="N253" s="299" t="s">
        <v>748</v>
      </c>
      <c r="O253"/>
    </row>
    <row r="254" spans="1:15" ht="13">
      <c r="A254" s="272" t="s">
        <v>396</v>
      </c>
      <c r="B254" s="308">
        <v>0.84</v>
      </c>
      <c r="C254" s="311"/>
      <c r="D254" s="273"/>
      <c r="E254" s="274" t="str">
        <f t="shared" si="3"/>
        <v/>
      </c>
      <c r="J254" s="298" t="s">
        <v>297</v>
      </c>
      <c r="K254" s="298" t="s">
        <v>749</v>
      </c>
      <c r="L254" s="299">
        <v>0.17</v>
      </c>
      <c r="M254" s="299">
        <v>800</v>
      </c>
      <c r="N254" s="299">
        <v>0.23</v>
      </c>
    </row>
    <row r="255" spans="1:15" ht="13">
      <c r="A255" s="272" t="s">
        <v>397</v>
      </c>
      <c r="B255" s="308">
        <v>1.05</v>
      </c>
      <c r="C255" s="311">
        <v>1740</v>
      </c>
      <c r="D255" s="273"/>
      <c r="E255" s="274" t="str">
        <f t="shared" si="3"/>
        <v/>
      </c>
      <c r="J255" s="300"/>
      <c r="K255" s="298" t="s">
        <v>750</v>
      </c>
      <c r="L255" s="299">
        <v>0.14000000000000001</v>
      </c>
      <c r="M255" s="299">
        <v>550</v>
      </c>
      <c r="N255" s="299">
        <v>0.17</v>
      </c>
      <c r="O255"/>
    </row>
    <row r="256" spans="1:15" ht="13">
      <c r="A256" s="272" t="s">
        <v>393</v>
      </c>
      <c r="B256" s="308">
        <v>0.67</v>
      </c>
      <c r="C256" s="311" t="s">
        <v>633</v>
      </c>
      <c r="D256" s="273"/>
      <c r="E256" s="274" t="str">
        <f t="shared" si="3"/>
        <v/>
      </c>
      <c r="J256" s="300"/>
      <c r="K256" s="298" t="s">
        <v>214</v>
      </c>
      <c r="L256" s="299">
        <v>0.17</v>
      </c>
      <c r="M256" s="299">
        <v>700</v>
      </c>
      <c r="N256" s="299">
        <v>0.23</v>
      </c>
      <c r="O256"/>
    </row>
    <row r="257" spans="1:15" ht="13">
      <c r="A257" s="272" t="s">
        <v>394</v>
      </c>
      <c r="B257" s="308">
        <v>0.75</v>
      </c>
      <c r="C257" s="311" t="s">
        <v>634</v>
      </c>
      <c r="D257" s="273"/>
      <c r="E257" s="274" t="str">
        <f t="shared" si="3"/>
        <v/>
      </c>
      <c r="J257" s="300"/>
      <c r="K257" s="298" t="s">
        <v>751</v>
      </c>
      <c r="L257" s="299">
        <v>0.3</v>
      </c>
      <c r="M257" s="299">
        <v>1000</v>
      </c>
      <c r="N257" s="299"/>
      <c r="O257"/>
    </row>
    <row r="258" spans="1:15" ht="13">
      <c r="A258" s="272" t="s">
        <v>395</v>
      </c>
      <c r="B258" s="308">
        <v>0.46</v>
      </c>
      <c r="C258" s="311">
        <v>7430</v>
      </c>
      <c r="D258" s="273"/>
      <c r="E258" s="274" t="str">
        <f t="shared" ref="E258:E321" si="4">IF(A258=A259,"#","")</f>
        <v/>
      </c>
      <c r="J258" s="300"/>
      <c r="K258" s="298" t="s">
        <v>752</v>
      </c>
      <c r="L258" s="299">
        <v>0.08</v>
      </c>
      <c r="M258" s="299">
        <v>300</v>
      </c>
      <c r="N258" s="299"/>
      <c r="O258"/>
    </row>
    <row r="259" spans="1:15" ht="13">
      <c r="A259" s="283" t="s">
        <v>208</v>
      </c>
      <c r="B259" s="308">
        <v>2.91</v>
      </c>
      <c r="C259" s="311">
        <v>2750</v>
      </c>
      <c r="D259" s="273">
        <v>840</v>
      </c>
      <c r="E259" s="274" t="str">
        <f t="shared" si="4"/>
        <v/>
      </c>
      <c r="J259" s="300"/>
      <c r="K259" s="298" t="s">
        <v>753</v>
      </c>
      <c r="L259" s="299" t="s">
        <v>755</v>
      </c>
      <c r="M259" s="299" t="s">
        <v>754</v>
      </c>
      <c r="N259" s="299"/>
      <c r="O259"/>
    </row>
    <row r="260" spans="1:15" ht="13">
      <c r="A260" s="272" t="s">
        <v>398</v>
      </c>
      <c r="B260" s="308">
        <v>0.88</v>
      </c>
      <c r="C260" s="311"/>
      <c r="D260" s="273"/>
      <c r="E260" s="274" t="str">
        <f t="shared" si="4"/>
        <v/>
      </c>
      <c r="J260" s="300"/>
      <c r="K260" s="298" t="s">
        <v>756</v>
      </c>
      <c r="L260" s="299" t="s">
        <v>758</v>
      </c>
      <c r="M260" s="299" t="s">
        <v>757</v>
      </c>
      <c r="N260" s="299"/>
      <c r="O260"/>
    </row>
    <row r="261" spans="1:15" ht="13">
      <c r="A261" s="413" t="s">
        <v>805</v>
      </c>
      <c r="B261" s="308">
        <v>0.13</v>
      </c>
      <c r="C261" s="311">
        <v>750</v>
      </c>
      <c r="D261" s="273">
        <v>700</v>
      </c>
      <c r="E261" s="274" t="str">
        <f t="shared" si="4"/>
        <v/>
      </c>
      <c r="J261" s="298" t="s">
        <v>759</v>
      </c>
      <c r="K261" s="298" t="s">
        <v>760</v>
      </c>
      <c r="L261" s="299">
        <v>0.17</v>
      </c>
      <c r="M261" s="299">
        <v>1200</v>
      </c>
      <c r="N261" s="299"/>
    </row>
    <row r="262" spans="1:15" ht="13">
      <c r="A262" s="272" t="s">
        <v>544</v>
      </c>
      <c r="B262" s="308"/>
      <c r="C262" s="311" t="s">
        <v>670</v>
      </c>
      <c r="D262" s="273"/>
      <c r="E262" s="274" t="str">
        <f t="shared" si="4"/>
        <v/>
      </c>
      <c r="J262" s="300"/>
      <c r="K262" s="298" t="s">
        <v>761</v>
      </c>
      <c r="L262" s="299">
        <v>0.17</v>
      </c>
      <c r="M262" s="299">
        <v>930</v>
      </c>
      <c r="N262" s="299"/>
      <c r="O262"/>
    </row>
    <row r="263" spans="1:15" ht="13">
      <c r="A263" s="279" t="s">
        <v>180</v>
      </c>
      <c r="B263" s="308">
        <v>8</v>
      </c>
      <c r="C263" s="311"/>
      <c r="D263" s="280"/>
      <c r="E263" s="274" t="str">
        <f t="shared" si="4"/>
        <v/>
      </c>
      <c r="J263" s="300"/>
      <c r="K263" s="298" t="s">
        <v>762</v>
      </c>
      <c r="L263" s="299">
        <v>0.17</v>
      </c>
      <c r="M263" s="299">
        <v>1400</v>
      </c>
      <c r="N263" s="299"/>
      <c r="O263"/>
    </row>
    <row r="264" spans="1:15" ht="13">
      <c r="A264" s="272" t="s">
        <v>399</v>
      </c>
      <c r="B264" s="308">
        <v>0.5</v>
      </c>
      <c r="C264" s="311" t="s">
        <v>635</v>
      </c>
      <c r="D264" s="273"/>
      <c r="E264" s="274" t="str">
        <f t="shared" si="4"/>
        <v/>
      </c>
      <c r="J264" s="298" t="s">
        <v>763</v>
      </c>
      <c r="K264" s="298" t="s">
        <v>764</v>
      </c>
      <c r="L264" s="299">
        <v>3.5000000000000003E-2</v>
      </c>
      <c r="M264" s="301">
        <v>14885</v>
      </c>
      <c r="N264" s="299"/>
    </row>
    <row r="265" spans="1:15" ht="13">
      <c r="A265" s="272" t="s">
        <v>400</v>
      </c>
      <c r="B265" s="308">
        <v>0.84</v>
      </c>
      <c r="C265" s="311"/>
      <c r="D265" s="273"/>
      <c r="E265" s="274" t="str">
        <f t="shared" si="4"/>
        <v/>
      </c>
      <c r="J265" s="300"/>
      <c r="K265" s="298" t="s">
        <v>765</v>
      </c>
      <c r="L265" s="299">
        <v>0.03</v>
      </c>
      <c r="M265" s="299" t="s">
        <v>766</v>
      </c>
      <c r="N265" s="299"/>
      <c r="O265"/>
    </row>
    <row r="266" spans="1:15" ht="13">
      <c r="A266" s="272" t="s">
        <v>545</v>
      </c>
      <c r="B266" s="308"/>
      <c r="C266" s="311">
        <v>50</v>
      </c>
      <c r="D266" s="273"/>
      <c r="E266" s="274" t="str">
        <f t="shared" si="4"/>
        <v/>
      </c>
      <c r="J266" s="300"/>
      <c r="K266" s="298" t="s">
        <v>767</v>
      </c>
      <c r="L266" s="299" t="s">
        <v>769</v>
      </c>
      <c r="M266" s="299" t="s">
        <v>768</v>
      </c>
      <c r="N266" s="299"/>
      <c r="O266"/>
    </row>
    <row r="267" spans="1:15" ht="13">
      <c r="A267" s="272" t="s">
        <v>401</v>
      </c>
      <c r="B267" s="308">
        <v>0.27200000000000002</v>
      </c>
      <c r="C267" s="311">
        <v>10200</v>
      </c>
      <c r="D267" s="273"/>
      <c r="E267" s="274" t="str">
        <f t="shared" si="4"/>
        <v/>
      </c>
      <c r="J267" s="300"/>
      <c r="K267" s="298" t="s">
        <v>770</v>
      </c>
      <c r="L267" s="299">
        <v>3.5000000000000003E-2</v>
      </c>
      <c r="M267" s="299" t="s">
        <v>771</v>
      </c>
      <c r="N267" s="299"/>
      <c r="O267"/>
    </row>
    <row r="268" spans="1:15" ht="13">
      <c r="A268" s="272" t="s">
        <v>546</v>
      </c>
      <c r="B268" s="308"/>
      <c r="C268" s="311" t="s">
        <v>671</v>
      </c>
      <c r="D268" s="273"/>
      <c r="E268" s="274" t="str">
        <f t="shared" si="4"/>
        <v/>
      </c>
      <c r="J268" s="300"/>
      <c r="K268" s="298" t="s">
        <v>772</v>
      </c>
      <c r="L268" s="299">
        <v>3.5000000000000003E-2</v>
      </c>
      <c r="M268" s="299" t="s">
        <v>773</v>
      </c>
      <c r="N268" s="299"/>
      <c r="O268"/>
    </row>
    <row r="269" spans="1:15" ht="13">
      <c r="A269" s="272" t="s">
        <v>402</v>
      </c>
      <c r="B269" s="308">
        <v>0.46100000000000002</v>
      </c>
      <c r="C269" s="311">
        <v>8900</v>
      </c>
      <c r="D269" s="273"/>
      <c r="E269" s="274" t="str">
        <f t="shared" si="4"/>
        <v/>
      </c>
      <c r="J269" s="298" t="s">
        <v>774</v>
      </c>
      <c r="K269" s="298" t="s">
        <v>775</v>
      </c>
      <c r="L269" s="299">
        <v>0.05</v>
      </c>
      <c r="M269" s="299" t="s">
        <v>776</v>
      </c>
      <c r="N269" s="299"/>
    </row>
    <row r="270" spans="1:15" ht="13">
      <c r="A270" s="302" t="s">
        <v>793</v>
      </c>
      <c r="B270" s="308"/>
      <c r="C270" s="311">
        <v>0.05</v>
      </c>
      <c r="D270" s="273"/>
      <c r="E270" s="274" t="str">
        <f t="shared" si="4"/>
        <v/>
      </c>
      <c r="J270" s="298" t="s">
        <v>777</v>
      </c>
      <c r="K270" s="298" t="s">
        <v>184</v>
      </c>
      <c r="L270" s="299">
        <v>0.7</v>
      </c>
      <c r="M270" s="299">
        <v>2100</v>
      </c>
      <c r="N270" s="299"/>
    </row>
    <row r="271" spans="1:15" ht="13">
      <c r="A271" s="272" t="s">
        <v>547</v>
      </c>
      <c r="B271" s="308"/>
      <c r="C271" s="311" t="s">
        <v>672</v>
      </c>
      <c r="D271" s="273"/>
      <c r="E271" s="274" t="str">
        <f t="shared" si="4"/>
        <v/>
      </c>
      <c r="J271" s="300"/>
      <c r="K271" s="298" t="s">
        <v>186</v>
      </c>
      <c r="L271" s="299">
        <v>0.2</v>
      </c>
      <c r="M271" s="299">
        <v>1050</v>
      </c>
      <c r="N271" s="299"/>
      <c r="O271"/>
    </row>
    <row r="272" spans="1:15" ht="13">
      <c r="A272" s="272" t="s">
        <v>548</v>
      </c>
      <c r="B272" s="308"/>
      <c r="C272" s="311" t="s">
        <v>673</v>
      </c>
      <c r="D272" s="273"/>
      <c r="E272" s="274" t="str">
        <f t="shared" si="4"/>
        <v/>
      </c>
      <c r="J272" s="298" t="s">
        <v>231</v>
      </c>
      <c r="K272" s="298" t="s">
        <v>231</v>
      </c>
      <c r="L272" s="299">
        <v>0.57999999999999996</v>
      </c>
      <c r="M272" s="299">
        <v>1000</v>
      </c>
      <c r="N272" s="299"/>
    </row>
    <row r="273" spans="1:15" ht="13">
      <c r="A273" s="295" t="s">
        <v>266</v>
      </c>
      <c r="B273" s="308">
        <v>0.19</v>
      </c>
      <c r="C273" s="311">
        <v>700</v>
      </c>
      <c r="D273" s="273">
        <v>2390</v>
      </c>
      <c r="E273" s="274" t="str">
        <f t="shared" si="4"/>
        <v/>
      </c>
      <c r="J273" s="300"/>
      <c r="K273" s="298" t="s">
        <v>539</v>
      </c>
      <c r="L273" s="299">
        <v>2.2000000000000002</v>
      </c>
      <c r="M273" s="299">
        <v>900</v>
      </c>
      <c r="N273" s="299"/>
      <c r="O273"/>
    </row>
    <row r="274" spans="1:15" ht="13">
      <c r="A274" s="295" t="s">
        <v>689</v>
      </c>
      <c r="B274" s="308">
        <v>0.13</v>
      </c>
      <c r="C274" s="311"/>
      <c r="D274" s="273"/>
      <c r="E274" s="274" t="str">
        <f t="shared" si="4"/>
        <v/>
      </c>
      <c r="J274" s="300"/>
      <c r="K274" s="298" t="s">
        <v>778</v>
      </c>
      <c r="L274" s="299" t="s">
        <v>758</v>
      </c>
      <c r="M274" s="299" t="s">
        <v>779</v>
      </c>
      <c r="N274" s="299"/>
      <c r="O274"/>
    </row>
    <row r="275" spans="1:15" ht="13">
      <c r="A275" s="272" t="s">
        <v>549</v>
      </c>
      <c r="B275" s="308"/>
      <c r="C275" s="311">
        <v>3500</v>
      </c>
      <c r="D275" s="273"/>
      <c r="E275" s="274" t="str">
        <f t="shared" si="4"/>
        <v/>
      </c>
      <c r="J275" s="300"/>
      <c r="K275" s="298" t="s">
        <v>780</v>
      </c>
      <c r="L275" s="299" t="s">
        <v>782</v>
      </c>
      <c r="M275" s="299" t="s">
        <v>781</v>
      </c>
      <c r="N275" s="299"/>
      <c r="O275"/>
    </row>
    <row r="276" spans="1:15" ht="13">
      <c r="A276" s="272" t="s">
        <v>403</v>
      </c>
      <c r="B276" s="308">
        <v>0.88</v>
      </c>
      <c r="C276" s="311"/>
      <c r="D276" s="273"/>
      <c r="E276" s="274" t="str">
        <f t="shared" si="4"/>
        <v/>
      </c>
      <c r="J276" s="298" t="s">
        <v>783</v>
      </c>
      <c r="K276" s="298" t="s">
        <v>783</v>
      </c>
      <c r="L276" s="299">
        <v>2.3E-2</v>
      </c>
      <c r="M276" s="299">
        <v>1.2</v>
      </c>
      <c r="N276" s="299"/>
    </row>
    <row r="277" spans="1:15" ht="13">
      <c r="A277" s="272" t="s">
        <v>550</v>
      </c>
      <c r="B277" s="308"/>
      <c r="C277" s="311">
        <v>2200</v>
      </c>
      <c r="D277" s="273"/>
      <c r="E277" s="274" t="str">
        <f t="shared" si="4"/>
        <v/>
      </c>
      <c r="J277" s="298" t="s">
        <v>784</v>
      </c>
      <c r="K277" s="298" t="s">
        <v>785</v>
      </c>
      <c r="L277" s="299">
        <v>0.8</v>
      </c>
      <c r="M277" s="299">
        <v>1450</v>
      </c>
      <c r="N277" s="299"/>
    </row>
    <row r="278" spans="1:15" ht="13">
      <c r="A278" s="272" t="s">
        <v>404</v>
      </c>
      <c r="B278" s="308">
        <v>0.8</v>
      </c>
      <c r="C278" s="311"/>
      <c r="D278" s="273"/>
      <c r="E278" s="274" t="str">
        <f t="shared" si="4"/>
        <v/>
      </c>
      <c r="J278" s="300"/>
      <c r="K278" s="298" t="s">
        <v>786</v>
      </c>
      <c r="L278" s="299">
        <v>0.9</v>
      </c>
      <c r="M278" s="299">
        <v>1780</v>
      </c>
      <c r="N278" s="299"/>
      <c r="O278"/>
    </row>
    <row r="279" spans="1:15" ht="13">
      <c r="A279" s="302" t="s">
        <v>802</v>
      </c>
      <c r="B279" s="414">
        <v>0.13</v>
      </c>
      <c r="C279" s="415">
        <v>650</v>
      </c>
      <c r="D279" s="313"/>
      <c r="E279" s="274" t="str">
        <f t="shared" si="4"/>
        <v/>
      </c>
      <c r="J279" s="300"/>
      <c r="K279" s="298" t="s">
        <v>787</v>
      </c>
      <c r="L279" s="299">
        <v>2</v>
      </c>
      <c r="M279" s="299">
        <v>1700</v>
      </c>
      <c r="N279" s="299"/>
      <c r="O279"/>
    </row>
    <row r="280" spans="1:15" ht="13">
      <c r="A280" s="272" t="s">
        <v>405</v>
      </c>
      <c r="B280" s="308">
        <v>0.13</v>
      </c>
      <c r="C280" s="311">
        <v>22480</v>
      </c>
      <c r="D280" s="273"/>
      <c r="E280" s="274" t="str">
        <f t="shared" si="4"/>
        <v/>
      </c>
      <c r="J280" s="300"/>
      <c r="K280" s="298" t="s">
        <v>788</v>
      </c>
      <c r="L280" s="299">
        <v>0.3</v>
      </c>
      <c r="M280" s="299">
        <v>1600</v>
      </c>
      <c r="N280" s="299"/>
      <c r="O280"/>
    </row>
    <row r="281" spans="1:15" ht="13">
      <c r="A281" s="272" t="s">
        <v>406</v>
      </c>
      <c r="B281" s="308">
        <v>0.75</v>
      </c>
      <c r="C281" s="311"/>
      <c r="D281" s="273"/>
      <c r="E281" s="274" t="str">
        <f t="shared" si="4"/>
        <v/>
      </c>
      <c r="J281" s="298" t="s">
        <v>789</v>
      </c>
      <c r="K281" s="298" t="s">
        <v>790</v>
      </c>
      <c r="L281" s="299">
        <v>1.5</v>
      </c>
      <c r="M281" s="299">
        <v>2000</v>
      </c>
      <c r="N281" s="299"/>
    </row>
    <row r="282" spans="1:15" ht="13">
      <c r="A282" s="272" t="s">
        <v>551</v>
      </c>
      <c r="B282" s="308"/>
      <c r="C282" s="311">
        <v>12000</v>
      </c>
      <c r="D282" s="273"/>
      <c r="E282" s="274" t="str">
        <f t="shared" si="4"/>
        <v/>
      </c>
      <c r="J282" s="300"/>
      <c r="K282" s="298" t="s">
        <v>791</v>
      </c>
      <c r="L282" s="299" t="s">
        <v>792</v>
      </c>
      <c r="M282" s="299">
        <v>800</v>
      </c>
      <c r="N282" s="299"/>
      <c r="O282"/>
    </row>
    <row r="283" spans="1:15" ht="13">
      <c r="A283" s="283" t="s">
        <v>209</v>
      </c>
      <c r="B283" s="308">
        <v>0.05</v>
      </c>
      <c r="C283" s="311" t="s">
        <v>674</v>
      </c>
      <c r="D283" s="273"/>
      <c r="E283" s="274" t="str">
        <f t="shared" si="4"/>
        <v/>
      </c>
      <c r="J283" s="300"/>
      <c r="K283" s="298" t="s">
        <v>793</v>
      </c>
      <c r="L283" s="299"/>
      <c r="M283" s="299">
        <v>0.05</v>
      </c>
      <c r="N283" s="299"/>
      <c r="O283"/>
    </row>
    <row r="284" spans="1:15" ht="13">
      <c r="A284" s="272" t="s">
        <v>552</v>
      </c>
      <c r="B284" s="308"/>
      <c r="C284" s="311">
        <v>900</v>
      </c>
      <c r="D284" s="273"/>
      <c r="E284" s="274" t="str">
        <f t="shared" si="4"/>
        <v/>
      </c>
      <c r="J284" s="300"/>
      <c r="K284" s="298" t="s">
        <v>794</v>
      </c>
      <c r="L284" s="299"/>
      <c r="M284" s="299">
        <v>0.09</v>
      </c>
      <c r="N284" s="299"/>
      <c r="O284"/>
    </row>
    <row r="285" spans="1:15" ht="13">
      <c r="A285" s="272" t="s">
        <v>407</v>
      </c>
      <c r="B285" s="308">
        <v>2.9</v>
      </c>
      <c r="C285" s="311"/>
      <c r="D285" s="273"/>
      <c r="E285" s="274" t="str">
        <f t="shared" si="4"/>
        <v/>
      </c>
      <c r="J285" s="300"/>
      <c r="K285" s="298" t="s">
        <v>194</v>
      </c>
      <c r="L285" s="299" t="s">
        <v>795</v>
      </c>
      <c r="M285" s="299">
        <v>200</v>
      </c>
      <c r="N285" s="299"/>
      <c r="O285"/>
    </row>
    <row r="286" spans="1:15" ht="13">
      <c r="A286" s="302" t="s">
        <v>791</v>
      </c>
      <c r="B286" s="308">
        <v>0.2</v>
      </c>
      <c r="C286" s="311">
        <v>800</v>
      </c>
      <c r="D286" s="273"/>
      <c r="E286" s="274" t="str">
        <f t="shared" si="4"/>
        <v/>
      </c>
      <c r="J286" s="300"/>
      <c r="K286" s="298" t="s">
        <v>796</v>
      </c>
      <c r="L286" s="299">
        <v>7.0000000000000007E-2</v>
      </c>
      <c r="M286" s="299">
        <v>400</v>
      </c>
      <c r="N286" s="299"/>
      <c r="O286"/>
    </row>
    <row r="287" spans="1:15" ht="13">
      <c r="A287" s="279" t="s">
        <v>622</v>
      </c>
      <c r="B287" s="308">
        <v>1.9</v>
      </c>
      <c r="C287" s="311">
        <v>2300</v>
      </c>
      <c r="D287" s="273">
        <v>840</v>
      </c>
      <c r="E287" s="274" t="str">
        <f t="shared" si="4"/>
        <v/>
      </c>
    </row>
    <row r="288" spans="1:15" ht="13">
      <c r="A288" s="272" t="s">
        <v>408</v>
      </c>
      <c r="B288" s="308">
        <v>1.88</v>
      </c>
      <c r="C288" s="311"/>
      <c r="D288" s="273"/>
      <c r="E288" s="274" t="str">
        <f t="shared" si="4"/>
        <v/>
      </c>
    </row>
    <row r="289" spans="1:5" ht="13">
      <c r="A289" s="272" t="s">
        <v>553</v>
      </c>
      <c r="B289" s="308"/>
      <c r="C289" s="311">
        <v>850</v>
      </c>
      <c r="D289" s="273"/>
      <c r="E289" s="274" t="str">
        <f t="shared" si="4"/>
        <v/>
      </c>
    </row>
    <row r="290" spans="1:5" ht="13">
      <c r="A290" s="272" t="s">
        <v>604</v>
      </c>
      <c r="B290" s="308">
        <v>1.89</v>
      </c>
      <c r="C290" s="311">
        <v>1190</v>
      </c>
      <c r="D290" s="273">
        <v>350</v>
      </c>
      <c r="E290" s="274" t="str">
        <f t="shared" si="4"/>
        <v/>
      </c>
    </row>
    <row r="291" spans="1:5" ht="13">
      <c r="A291" s="302"/>
      <c r="B291" s="308"/>
      <c r="C291" s="311"/>
      <c r="D291" s="273"/>
      <c r="E291" s="274" t="str">
        <f t="shared" si="4"/>
        <v/>
      </c>
    </row>
    <row r="292" spans="1:5" ht="13">
      <c r="A292" s="272" t="s">
        <v>554</v>
      </c>
      <c r="B292" s="308"/>
      <c r="C292" s="311" t="s">
        <v>675</v>
      </c>
      <c r="D292" s="273"/>
      <c r="E292" s="274" t="str">
        <f t="shared" si="4"/>
        <v/>
      </c>
    </row>
    <row r="293" spans="1:5" ht="13">
      <c r="A293" s="272" t="s">
        <v>555</v>
      </c>
      <c r="B293" s="308"/>
      <c r="C293" s="311">
        <v>8800</v>
      </c>
      <c r="D293" s="273"/>
      <c r="E293" s="274" t="str">
        <f t="shared" si="4"/>
        <v/>
      </c>
    </row>
    <row r="294" spans="1:5" ht="13">
      <c r="A294" s="272" t="s">
        <v>409</v>
      </c>
      <c r="B294" s="308">
        <v>0.36</v>
      </c>
      <c r="C294" s="311"/>
      <c r="D294" s="273"/>
      <c r="E294" s="274" t="str">
        <f t="shared" si="4"/>
        <v/>
      </c>
    </row>
    <row r="295" spans="1:5" ht="13">
      <c r="A295" s="272" t="s">
        <v>410</v>
      </c>
      <c r="B295" s="308">
        <v>0.8</v>
      </c>
      <c r="C295" s="311">
        <v>1820</v>
      </c>
      <c r="D295" s="273"/>
      <c r="E295" s="274" t="str">
        <f t="shared" si="4"/>
        <v/>
      </c>
    </row>
    <row r="296" spans="1:5" ht="13">
      <c r="A296" s="272" t="s">
        <v>411</v>
      </c>
      <c r="B296" s="308">
        <v>0.54</v>
      </c>
      <c r="C296" s="311"/>
      <c r="D296" s="273"/>
      <c r="E296" s="274" t="str">
        <f t="shared" si="4"/>
        <v/>
      </c>
    </row>
    <row r="297" spans="1:5" ht="13">
      <c r="A297" s="272" t="s">
        <v>412</v>
      </c>
      <c r="B297" s="308">
        <v>0.38</v>
      </c>
      <c r="C297" s="311">
        <v>8650</v>
      </c>
      <c r="D297" s="273"/>
      <c r="E297" s="274" t="str">
        <f t="shared" si="4"/>
        <v/>
      </c>
    </row>
    <row r="298" spans="1:5" ht="13">
      <c r="A298" s="279" t="s">
        <v>267</v>
      </c>
      <c r="B298" s="308">
        <v>0.17</v>
      </c>
      <c r="C298" s="311">
        <v>650</v>
      </c>
      <c r="D298" s="280">
        <v>2120</v>
      </c>
      <c r="E298" s="274" t="str">
        <f t="shared" si="4"/>
        <v/>
      </c>
    </row>
    <row r="299" spans="1:5" ht="13">
      <c r="A299" s="272" t="s">
        <v>413</v>
      </c>
      <c r="B299" s="308">
        <v>1.02</v>
      </c>
      <c r="C299" s="311">
        <v>1350</v>
      </c>
      <c r="D299" s="273"/>
      <c r="E299" s="274" t="str">
        <f t="shared" si="4"/>
        <v/>
      </c>
    </row>
    <row r="300" spans="1:5" ht="13">
      <c r="A300" s="272" t="s">
        <v>556</v>
      </c>
      <c r="B300" s="308"/>
      <c r="C300" s="311">
        <v>1100</v>
      </c>
      <c r="D300" s="273"/>
      <c r="E300" s="274" t="str">
        <f t="shared" si="4"/>
        <v/>
      </c>
    </row>
    <row r="301" spans="1:5" ht="13">
      <c r="A301" s="283" t="s">
        <v>260</v>
      </c>
      <c r="B301" s="308">
        <v>0.22</v>
      </c>
      <c r="C301" s="311">
        <v>800</v>
      </c>
      <c r="D301" s="273">
        <v>840</v>
      </c>
      <c r="E301" s="274" t="str">
        <f t="shared" si="4"/>
        <v/>
      </c>
    </row>
    <row r="302" spans="1:5" ht="13">
      <c r="A302" s="283" t="s">
        <v>210</v>
      </c>
      <c r="B302" s="308">
        <v>0.2</v>
      </c>
      <c r="C302" s="311"/>
      <c r="D302" s="273"/>
      <c r="E302" s="274" t="str">
        <f t="shared" si="4"/>
        <v/>
      </c>
    </row>
    <row r="303" spans="1:5" ht="13">
      <c r="A303" s="272" t="s">
        <v>414</v>
      </c>
      <c r="B303" s="308">
        <v>1</v>
      </c>
      <c r="C303" s="311"/>
      <c r="D303" s="273"/>
      <c r="E303" s="274" t="str">
        <f t="shared" si="4"/>
        <v/>
      </c>
    </row>
    <row r="304" spans="1:5" ht="13">
      <c r="A304" s="283" t="s">
        <v>211</v>
      </c>
      <c r="B304" s="308">
        <v>0.47</v>
      </c>
      <c r="C304" s="311"/>
      <c r="D304" s="273"/>
      <c r="E304" s="274" t="str">
        <f t="shared" si="4"/>
        <v/>
      </c>
    </row>
    <row r="305" spans="1:5" ht="13">
      <c r="A305" s="272" t="s">
        <v>212</v>
      </c>
      <c r="B305" s="308">
        <v>0.82</v>
      </c>
      <c r="C305" s="311">
        <v>1680</v>
      </c>
      <c r="D305" s="273">
        <v>840</v>
      </c>
      <c r="E305" s="274" t="str">
        <f t="shared" si="4"/>
        <v/>
      </c>
    </row>
    <row r="306" spans="1:5" ht="13">
      <c r="A306" s="283" t="s">
        <v>236</v>
      </c>
      <c r="B306" s="308">
        <v>0.16</v>
      </c>
      <c r="C306" s="311">
        <v>950</v>
      </c>
      <c r="D306" s="273">
        <v>840</v>
      </c>
      <c r="E306" s="274" t="str">
        <f t="shared" si="4"/>
        <v/>
      </c>
    </row>
    <row r="307" spans="1:5" ht="13">
      <c r="A307" s="272" t="s">
        <v>415</v>
      </c>
      <c r="B307" s="308">
        <v>1.3</v>
      </c>
      <c r="C307" s="311"/>
      <c r="D307" s="273"/>
      <c r="E307" s="274" t="str">
        <f t="shared" si="4"/>
        <v/>
      </c>
    </row>
    <row r="308" spans="1:5" ht="13">
      <c r="A308" s="272" t="s">
        <v>416</v>
      </c>
      <c r="B308" s="308">
        <v>1.67</v>
      </c>
      <c r="C308" s="311"/>
      <c r="D308" s="273"/>
      <c r="E308" s="274" t="str">
        <f t="shared" si="4"/>
        <v/>
      </c>
    </row>
    <row r="309" spans="1:5" ht="13">
      <c r="A309" s="283" t="s">
        <v>213</v>
      </c>
      <c r="B309" s="308">
        <v>70</v>
      </c>
      <c r="C309" s="311">
        <v>21500</v>
      </c>
      <c r="D309" s="273"/>
      <c r="E309" s="274" t="str">
        <f t="shared" si="4"/>
        <v/>
      </c>
    </row>
    <row r="310" spans="1:5" ht="14">
      <c r="A310" s="272" t="s">
        <v>625</v>
      </c>
      <c r="B310" s="308">
        <v>0.13</v>
      </c>
      <c r="C310" s="311"/>
      <c r="D310" s="273"/>
      <c r="E310" s="274" t="str">
        <f t="shared" si="4"/>
        <v/>
      </c>
    </row>
    <row r="311" spans="1:5" ht="13">
      <c r="A311" s="302" t="s">
        <v>214</v>
      </c>
      <c r="B311" s="308">
        <v>0.17</v>
      </c>
      <c r="C311" s="311">
        <v>700</v>
      </c>
      <c r="D311" s="273"/>
      <c r="E311" s="274" t="str">
        <f t="shared" si="4"/>
        <v/>
      </c>
    </row>
    <row r="312" spans="1:5" ht="13">
      <c r="A312" s="272" t="s">
        <v>557</v>
      </c>
      <c r="B312" s="308"/>
      <c r="C312" s="311" t="s">
        <v>676</v>
      </c>
      <c r="D312" s="273"/>
      <c r="E312" s="274" t="str">
        <f t="shared" si="4"/>
        <v/>
      </c>
    </row>
    <row r="313" spans="1:5" ht="13">
      <c r="A313" s="272" t="s">
        <v>558</v>
      </c>
      <c r="B313" s="308"/>
      <c r="C313" s="311">
        <v>1200</v>
      </c>
      <c r="D313" s="273"/>
      <c r="E313" s="274" t="str">
        <f t="shared" si="4"/>
        <v/>
      </c>
    </row>
    <row r="314" spans="1:5" ht="13">
      <c r="A314" s="302" t="s">
        <v>760</v>
      </c>
      <c r="B314" s="308">
        <v>0.17</v>
      </c>
      <c r="C314" s="311">
        <v>1200</v>
      </c>
      <c r="D314" s="273"/>
      <c r="E314" s="274" t="str">
        <f t="shared" si="4"/>
        <v/>
      </c>
    </row>
    <row r="315" spans="1:5" ht="13">
      <c r="A315" s="302" t="s">
        <v>761</v>
      </c>
      <c r="B315" s="308">
        <v>0.17</v>
      </c>
      <c r="C315" s="311">
        <v>930</v>
      </c>
      <c r="D315" s="273"/>
      <c r="E315" s="274" t="str">
        <f t="shared" si="4"/>
        <v/>
      </c>
    </row>
    <row r="316" spans="1:5" ht="13">
      <c r="A316" s="272" t="s">
        <v>559</v>
      </c>
      <c r="B316" s="308"/>
      <c r="C316" s="311" t="s">
        <v>677</v>
      </c>
      <c r="D316" s="273"/>
      <c r="E316" s="274" t="str">
        <f t="shared" si="4"/>
        <v/>
      </c>
    </row>
    <row r="317" spans="1:5" ht="13">
      <c r="A317" s="283" t="s">
        <v>215</v>
      </c>
      <c r="B317" s="308">
        <v>0.15</v>
      </c>
      <c r="C317" s="311">
        <v>900</v>
      </c>
      <c r="D317" s="273"/>
      <c r="E317" s="274" t="str">
        <f t="shared" si="4"/>
        <v/>
      </c>
    </row>
    <row r="318" spans="1:5" ht="13">
      <c r="A318" s="272" t="s">
        <v>560</v>
      </c>
      <c r="B318" s="308">
        <v>0.03</v>
      </c>
      <c r="C318" s="311">
        <v>1030</v>
      </c>
      <c r="D318" s="273"/>
      <c r="E318" s="274" t="str">
        <f t="shared" si="4"/>
        <v/>
      </c>
    </row>
    <row r="319" spans="1:5" ht="13">
      <c r="A319" s="302"/>
      <c r="B319" s="308"/>
      <c r="C319" s="311"/>
      <c r="D319" s="273"/>
      <c r="E319" s="274" t="str">
        <f t="shared" si="4"/>
        <v>#</v>
      </c>
    </row>
    <row r="320" spans="1:5" ht="13">
      <c r="A320" s="283"/>
      <c r="B320" s="308"/>
      <c r="C320" s="311"/>
      <c r="D320" s="273"/>
      <c r="E320" s="274" t="str">
        <f t="shared" si="4"/>
        <v/>
      </c>
    </row>
    <row r="321" spans="1:7" ht="26">
      <c r="A321" s="272" t="s">
        <v>563</v>
      </c>
      <c r="B321" s="308"/>
      <c r="C321" s="311">
        <v>2170</v>
      </c>
      <c r="D321" s="273"/>
      <c r="E321" s="274" t="str">
        <f t="shared" si="4"/>
        <v/>
      </c>
    </row>
    <row r="322" spans="1:7" ht="13">
      <c r="A322" s="283" t="s">
        <v>216</v>
      </c>
      <c r="B322" s="308">
        <v>0.03</v>
      </c>
      <c r="C322" s="311">
        <v>30</v>
      </c>
      <c r="D322" s="273"/>
      <c r="E322" s="274" t="str">
        <f t="shared" ref="E322:E385" si="5">IF(A322=A323,"#","")</f>
        <v/>
      </c>
    </row>
    <row r="323" spans="1:7" ht="13">
      <c r="A323" s="302"/>
      <c r="B323" s="308"/>
      <c r="C323" s="311"/>
      <c r="D323" s="273"/>
      <c r="E323" s="274" t="str">
        <f t="shared" si="5"/>
        <v/>
      </c>
    </row>
    <row r="324" spans="1:7" ht="13">
      <c r="A324" s="302" t="s">
        <v>762</v>
      </c>
      <c r="B324" s="308">
        <v>0.17</v>
      </c>
      <c r="C324" s="311">
        <v>1400</v>
      </c>
      <c r="D324" s="273"/>
      <c r="E324" s="274" t="str">
        <f t="shared" si="5"/>
        <v/>
      </c>
    </row>
    <row r="325" spans="1:7" ht="13">
      <c r="A325" s="272" t="s">
        <v>564</v>
      </c>
      <c r="B325" s="308"/>
      <c r="C325" s="311">
        <v>1390</v>
      </c>
      <c r="D325" s="273"/>
      <c r="E325" s="274" t="str">
        <f t="shared" si="5"/>
        <v/>
      </c>
    </row>
    <row r="326" spans="1:7" ht="13">
      <c r="A326" s="283" t="s">
        <v>217</v>
      </c>
      <c r="B326" s="308">
        <v>1.5</v>
      </c>
      <c r="C326" s="311" t="s">
        <v>678</v>
      </c>
      <c r="D326" s="273"/>
      <c r="E326" s="274" t="str">
        <f t="shared" si="5"/>
        <v/>
      </c>
    </row>
    <row r="327" spans="1:7" ht="13">
      <c r="A327" s="272" t="s">
        <v>561</v>
      </c>
      <c r="B327" s="308"/>
      <c r="C327" s="311" t="s">
        <v>679</v>
      </c>
      <c r="D327" s="273"/>
      <c r="E327" s="274" t="str">
        <f t="shared" si="5"/>
        <v/>
      </c>
    </row>
    <row r="328" spans="1:7" ht="13">
      <c r="A328" s="272" t="s">
        <v>417</v>
      </c>
      <c r="B328" s="308">
        <v>0.54</v>
      </c>
      <c r="C328" s="311">
        <v>860</v>
      </c>
      <c r="D328" s="273"/>
      <c r="E328" s="274" t="str">
        <f t="shared" si="5"/>
        <v/>
      </c>
    </row>
    <row r="329" spans="1:7" ht="13">
      <c r="A329" s="272" t="s">
        <v>562</v>
      </c>
      <c r="B329" s="308"/>
      <c r="C329" s="311">
        <v>190</v>
      </c>
      <c r="D329" s="273"/>
      <c r="E329" s="274" t="str">
        <f t="shared" si="5"/>
        <v/>
      </c>
    </row>
    <row r="330" spans="1:7" ht="13">
      <c r="A330" s="302" t="s">
        <v>712</v>
      </c>
      <c r="B330" s="308">
        <v>0.4</v>
      </c>
      <c r="C330" s="311">
        <v>1200</v>
      </c>
      <c r="D330" s="313"/>
      <c r="E330" s="274" t="str">
        <f t="shared" si="5"/>
        <v/>
      </c>
    </row>
    <row r="331" spans="1:7" ht="13">
      <c r="A331" s="283" t="s">
        <v>218</v>
      </c>
      <c r="B331" s="308">
        <v>0.19</v>
      </c>
      <c r="C331" s="311">
        <v>1400</v>
      </c>
      <c r="D331" s="273">
        <v>1000</v>
      </c>
      <c r="E331" s="274" t="str">
        <f t="shared" si="5"/>
        <v/>
      </c>
    </row>
    <row r="332" spans="1:7" ht="13">
      <c r="A332" s="302"/>
      <c r="B332" s="308"/>
      <c r="C332" s="311"/>
      <c r="D332" s="273"/>
      <c r="E332" s="274" t="str">
        <f t="shared" si="5"/>
        <v/>
      </c>
    </row>
    <row r="333" spans="1:7" ht="13">
      <c r="A333" s="272" t="s">
        <v>418</v>
      </c>
      <c r="B333" s="308">
        <v>0.84</v>
      </c>
      <c r="C333" s="311"/>
      <c r="D333" s="273"/>
      <c r="E333" s="274" t="str">
        <f t="shared" si="5"/>
        <v/>
      </c>
    </row>
    <row r="334" spans="1:7" ht="13">
      <c r="A334" s="272" t="s">
        <v>565</v>
      </c>
      <c r="B334" s="308"/>
      <c r="C334" s="311" t="s">
        <v>680</v>
      </c>
      <c r="D334" s="273"/>
      <c r="E334" s="274" t="str">
        <f t="shared" si="5"/>
        <v/>
      </c>
      <c r="F334" s="282"/>
      <c r="G334" s="287"/>
    </row>
    <row r="335" spans="1:7" ht="13">
      <c r="A335" s="272" t="s">
        <v>419</v>
      </c>
      <c r="B335" s="308">
        <v>0.67</v>
      </c>
      <c r="C335" s="311"/>
      <c r="D335" s="273"/>
      <c r="E335" s="274" t="str">
        <f t="shared" si="5"/>
        <v/>
      </c>
      <c r="F335" s="282"/>
      <c r="G335" s="287"/>
    </row>
    <row r="336" spans="1:7" ht="13">
      <c r="A336" s="272" t="s">
        <v>420</v>
      </c>
      <c r="B336" s="308">
        <v>1.51</v>
      </c>
      <c r="C336" s="311"/>
      <c r="D336" s="273"/>
      <c r="E336" s="274" t="str">
        <f t="shared" si="5"/>
        <v/>
      </c>
      <c r="F336" s="282"/>
      <c r="G336" s="287"/>
    </row>
    <row r="337" spans="1:7" ht="13">
      <c r="A337" s="272" t="s">
        <v>566</v>
      </c>
      <c r="B337" s="308"/>
      <c r="C337" s="311">
        <v>2650</v>
      </c>
      <c r="D337" s="273"/>
      <c r="E337" s="274" t="str">
        <f t="shared" si="5"/>
        <v/>
      </c>
      <c r="F337" s="282"/>
      <c r="G337" s="287"/>
    </row>
    <row r="338" spans="1:7" ht="14">
      <c r="A338" s="272" t="s">
        <v>626</v>
      </c>
      <c r="B338" s="308">
        <v>0.71</v>
      </c>
      <c r="C338" s="311"/>
      <c r="D338" s="273"/>
      <c r="E338" s="274" t="str">
        <f t="shared" si="5"/>
        <v/>
      </c>
      <c r="F338" s="282"/>
      <c r="G338" s="287"/>
    </row>
    <row r="339" spans="1:7" ht="14">
      <c r="A339" s="272" t="s">
        <v>627</v>
      </c>
      <c r="B339" s="308">
        <v>0.8</v>
      </c>
      <c r="C339" s="311"/>
      <c r="D339" s="273"/>
      <c r="E339" s="274" t="str">
        <f t="shared" si="5"/>
        <v/>
      </c>
      <c r="F339" s="282"/>
      <c r="G339" s="287"/>
    </row>
    <row r="340" spans="1:7" ht="13">
      <c r="A340" s="272" t="s">
        <v>567</v>
      </c>
      <c r="B340" s="308"/>
      <c r="C340" s="311">
        <v>5000</v>
      </c>
      <c r="D340" s="273"/>
      <c r="E340" s="274" t="str">
        <f t="shared" si="5"/>
        <v/>
      </c>
      <c r="F340" s="282"/>
      <c r="G340" s="287"/>
    </row>
    <row r="341" spans="1:7" ht="13">
      <c r="A341" s="272" t="s">
        <v>421</v>
      </c>
      <c r="B341" s="308">
        <v>9.1999999999999998E-2</v>
      </c>
      <c r="C341" s="311" t="s">
        <v>636</v>
      </c>
      <c r="D341" s="273"/>
      <c r="E341" s="274" t="str">
        <f t="shared" si="5"/>
        <v/>
      </c>
      <c r="F341" s="282"/>
      <c r="G341" s="287"/>
    </row>
    <row r="342" spans="1:7" ht="13">
      <c r="A342" s="272" t="s">
        <v>422</v>
      </c>
      <c r="B342" s="308">
        <v>0.38100000000000001</v>
      </c>
      <c r="C342" s="311">
        <v>8800</v>
      </c>
      <c r="D342" s="273"/>
      <c r="E342" s="274" t="str">
        <f t="shared" si="5"/>
        <v/>
      </c>
      <c r="F342" s="282"/>
      <c r="G342" s="287"/>
    </row>
    <row r="343" spans="1:7" ht="13">
      <c r="A343" s="272" t="s">
        <v>568</v>
      </c>
      <c r="B343" s="308"/>
      <c r="C343" s="311">
        <v>1070</v>
      </c>
      <c r="D343" s="273"/>
      <c r="E343" s="274" t="str">
        <f t="shared" si="5"/>
        <v/>
      </c>
      <c r="F343" s="282"/>
      <c r="G343" s="287"/>
    </row>
    <row r="344" spans="1:7" ht="13">
      <c r="A344" s="272" t="s">
        <v>423</v>
      </c>
      <c r="B344" s="308">
        <v>0.14000000000000001</v>
      </c>
      <c r="C344" s="311">
        <v>21400</v>
      </c>
      <c r="D344" s="273"/>
      <c r="E344" s="274" t="str">
        <f t="shared" si="5"/>
        <v/>
      </c>
      <c r="F344" s="282"/>
      <c r="G344" s="287"/>
    </row>
    <row r="345" spans="1:7" ht="13">
      <c r="A345" s="272" t="s">
        <v>424</v>
      </c>
      <c r="B345" s="308">
        <v>0.24</v>
      </c>
      <c r="C345" s="311">
        <v>12300</v>
      </c>
      <c r="D345" s="273"/>
      <c r="E345" s="274" t="str">
        <f t="shared" si="5"/>
        <v/>
      </c>
      <c r="F345" s="282"/>
      <c r="G345" s="287"/>
    </row>
    <row r="346" spans="1:7" ht="13">
      <c r="A346" s="272" t="s">
        <v>425</v>
      </c>
      <c r="B346" s="308">
        <v>0.92</v>
      </c>
      <c r="C346" s="311">
        <v>2200</v>
      </c>
      <c r="D346" s="273"/>
      <c r="E346" s="274" t="str">
        <f t="shared" si="5"/>
        <v/>
      </c>
      <c r="F346" s="282"/>
      <c r="G346" s="287"/>
    </row>
    <row r="347" spans="1:7" ht="13">
      <c r="A347" s="302"/>
      <c r="B347" s="308"/>
      <c r="C347" s="311"/>
      <c r="D347" s="273"/>
      <c r="E347" s="274" t="str">
        <f t="shared" si="5"/>
        <v/>
      </c>
      <c r="F347" s="282"/>
      <c r="G347" s="287"/>
    </row>
    <row r="348" spans="1:7" ht="13">
      <c r="A348" s="272" t="s">
        <v>621</v>
      </c>
      <c r="B348" s="308">
        <v>0.04</v>
      </c>
      <c r="C348" s="311">
        <v>300</v>
      </c>
      <c r="D348" s="273"/>
      <c r="E348" s="274" t="str">
        <f t="shared" si="5"/>
        <v/>
      </c>
      <c r="F348" s="282"/>
      <c r="G348" s="287"/>
    </row>
    <row r="349" spans="1:7" ht="13">
      <c r="A349" s="279" t="s">
        <v>800</v>
      </c>
      <c r="B349" s="308">
        <v>0.19</v>
      </c>
      <c r="C349" s="311">
        <v>960</v>
      </c>
      <c r="D349" s="280"/>
      <c r="E349" s="274" t="str">
        <f t="shared" si="5"/>
        <v/>
      </c>
      <c r="F349" s="282"/>
      <c r="G349" s="287"/>
    </row>
    <row r="350" spans="1:7" ht="13">
      <c r="A350" s="272" t="s">
        <v>426</v>
      </c>
      <c r="B350" s="308">
        <v>1.3</v>
      </c>
      <c r="C350" s="311">
        <v>1070</v>
      </c>
      <c r="D350" s="273"/>
      <c r="E350" s="274" t="str">
        <f t="shared" si="5"/>
        <v/>
      </c>
      <c r="F350" s="282"/>
      <c r="G350" s="287"/>
    </row>
    <row r="351" spans="1:7" ht="13">
      <c r="A351" s="302" t="s">
        <v>427</v>
      </c>
      <c r="B351" s="308">
        <v>0.25</v>
      </c>
      <c r="C351" s="311">
        <v>1300</v>
      </c>
      <c r="D351" s="273"/>
      <c r="E351" s="274" t="str">
        <f t="shared" si="5"/>
        <v/>
      </c>
      <c r="F351" s="282"/>
      <c r="G351" s="287"/>
    </row>
    <row r="352" spans="1:7" ht="13">
      <c r="A352" s="272" t="s">
        <v>569</v>
      </c>
      <c r="B352" s="308"/>
      <c r="C352" s="311">
        <v>1200</v>
      </c>
      <c r="D352" s="273"/>
      <c r="E352" s="274" t="str">
        <f t="shared" si="5"/>
        <v/>
      </c>
      <c r="F352" s="282"/>
      <c r="G352" s="287"/>
    </row>
    <row r="353" spans="1:7" ht="13">
      <c r="A353" s="283" t="s">
        <v>219</v>
      </c>
      <c r="B353" s="308">
        <v>0.13</v>
      </c>
      <c r="C353" s="311"/>
      <c r="D353" s="273"/>
      <c r="E353" s="274" t="str">
        <f t="shared" si="5"/>
        <v/>
      </c>
      <c r="F353" s="282"/>
      <c r="G353" s="287"/>
    </row>
    <row r="354" spans="1:7" ht="13">
      <c r="A354" s="272" t="s">
        <v>571</v>
      </c>
      <c r="B354" s="308"/>
      <c r="C354" s="311" t="s">
        <v>681</v>
      </c>
      <c r="D354" s="273"/>
      <c r="E354" s="274" t="str">
        <f t="shared" si="5"/>
        <v/>
      </c>
      <c r="F354" s="282"/>
      <c r="G354" s="287"/>
    </row>
    <row r="355" spans="1:7" ht="13">
      <c r="A355" s="272" t="s">
        <v>570</v>
      </c>
      <c r="B355" s="308"/>
      <c r="C355" s="311">
        <v>1100</v>
      </c>
      <c r="D355" s="273"/>
      <c r="E355" s="274" t="str">
        <f t="shared" si="5"/>
        <v/>
      </c>
      <c r="F355" s="282"/>
      <c r="G355" s="287"/>
    </row>
    <row r="356" spans="1:7" ht="13">
      <c r="A356" s="272" t="s">
        <v>428</v>
      </c>
      <c r="B356" s="308">
        <v>0.33</v>
      </c>
      <c r="C356" s="311">
        <v>1520</v>
      </c>
      <c r="D356" s="273"/>
      <c r="E356" s="274" t="str">
        <f t="shared" si="5"/>
        <v/>
      </c>
      <c r="F356" s="282"/>
      <c r="G356" s="287"/>
    </row>
    <row r="357" spans="1:7" ht="13">
      <c r="A357" s="272" t="s">
        <v>429</v>
      </c>
      <c r="B357" s="308">
        <v>0.88</v>
      </c>
      <c r="C357" s="311"/>
      <c r="D357" s="273"/>
      <c r="E357" s="274" t="str">
        <f t="shared" si="5"/>
        <v/>
      </c>
      <c r="F357" s="282"/>
      <c r="G357" s="287"/>
    </row>
    <row r="358" spans="1:7" ht="13">
      <c r="A358" s="302" t="s">
        <v>699</v>
      </c>
      <c r="B358" s="308">
        <v>0.9</v>
      </c>
      <c r="C358" s="311">
        <v>1900</v>
      </c>
      <c r="D358" s="313"/>
      <c r="E358" s="274" t="str">
        <f t="shared" si="5"/>
        <v/>
      </c>
      <c r="F358" s="282"/>
      <c r="G358" s="287"/>
    </row>
    <row r="359" spans="1:7" ht="13">
      <c r="A359" s="272" t="s">
        <v>220</v>
      </c>
      <c r="B359" s="308">
        <v>0.2</v>
      </c>
      <c r="C359" s="311" t="s">
        <v>682</v>
      </c>
      <c r="D359" s="273"/>
      <c r="E359" s="274" t="str">
        <f t="shared" si="5"/>
        <v/>
      </c>
      <c r="F359" s="282"/>
      <c r="G359" s="287"/>
    </row>
    <row r="360" spans="1:7" ht="13">
      <c r="A360" s="302" t="s">
        <v>221</v>
      </c>
      <c r="B360" s="308">
        <v>1.6</v>
      </c>
      <c r="C360" s="311">
        <v>2600</v>
      </c>
      <c r="D360" s="313"/>
      <c r="E360" s="274" t="str">
        <f t="shared" si="5"/>
        <v/>
      </c>
      <c r="F360" s="282"/>
      <c r="G360" s="287"/>
    </row>
    <row r="361" spans="1:7" ht="13">
      <c r="A361" s="272" t="s">
        <v>222</v>
      </c>
      <c r="B361" s="308">
        <v>5.0999999999999997E-2</v>
      </c>
      <c r="C361" s="311">
        <v>190</v>
      </c>
      <c r="D361" s="273">
        <v>1000</v>
      </c>
      <c r="E361" s="274" t="str">
        <f t="shared" si="5"/>
        <v/>
      </c>
      <c r="F361" s="282"/>
      <c r="G361" s="287"/>
    </row>
    <row r="362" spans="1:7" ht="13">
      <c r="A362" s="279" t="s">
        <v>629</v>
      </c>
      <c r="B362" s="308">
        <v>1.4</v>
      </c>
      <c r="C362" s="311">
        <v>2100</v>
      </c>
      <c r="D362" s="280"/>
      <c r="E362" s="274" t="str">
        <f t="shared" si="5"/>
        <v/>
      </c>
      <c r="F362" s="282"/>
      <c r="G362" s="287"/>
    </row>
    <row r="363" spans="1:7" ht="13">
      <c r="A363" s="279" t="s">
        <v>844</v>
      </c>
      <c r="B363" s="308">
        <v>0.38</v>
      </c>
      <c r="C363" s="311">
        <v>1100</v>
      </c>
      <c r="D363" s="280"/>
      <c r="E363" s="274" t="str">
        <f t="shared" si="5"/>
        <v/>
      </c>
      <c r="F363" s="282"/>
      <c r="G363" s="287"/>
    </row>
    <row r="364" spans="1:7" ht="13">
      <c r="A364" s="272" t="s">
        <v>430</v>
      </c>
      <c r="B364" s="308">
        <v>0.33</v>
      </c>
      <c r="C364" s="311">
        <v>4400</v>
      </c>
      <c r="D364" s="273"/>
      <c r="E364" s="274" t="str">
        <f t="shared" si="5"/>
        <v/>
      </c>
      <c r="F364" s="282"/>
      <c r="G364" s="287"/>
    </row>
    <row r="365" spans="1:7" ht="13">
      <c r="A365" s="272" t="s">
        <v>431</v>
      </c>
      <c r="B365" s="308">
        <v>1.0900000000000001</v>
      </c>
      <c r="C365" s="311" t="s">
        <v>683</v>
      </c>
      <c r="D365" s="273"/>
      <c r="E365" s="274" t="str">
        <f t="shared" si="5"/>
        <v/>
      </c>
      <c r="F365" s="282"/>
      <c r="G365" s="287"/>
    </row>
    <row r="366" spans="1:7" ht="13">
      <c r="A366" s="279" t="s">
        <v>223</v>
      </c>
      <c r="B366" s="308">
        <v>3.9E-2</v>
      </c>
      <c r="C366" s="311"/>
      <c r="D366" s="280"/>
      <c r="E366" s="274" t="str">
        <f t="shared" si="5"/>
        <v/>
      </c>
      <c r="F366" s="282"/>
      <c r="G366" s="287"/>
    </row>
    <row r="367" spans="1:7" ht="13">
      <c r="A367" s="272" t="s">
        <v>432</v>
      </c>
      <c r="B367" s="308">
        <v>0.84</v>
      </c>
      <c r="C367" s="311"/>
      <c r="D367" s="273"/>
      <c r="E367" s="274" t="str">
        <f t="shared" si="5"/>
        <v/>
      </c>
      <c r="F367" s="282"/>
      <c r="G367" s="287"/>
    </row>
    <row r="368" spans="1:7" ht="13">
      <c r="A368" s="272" t="s">
        <v>572</v>
      </c>
      <c r="B368" s="308"/>
      <c r="C368" s="311">
        <v>2200</v>
      </c>
      <c r="D368" s="273"/>
      <c r="E368" s="274" t="str">
        <f t="shared" si="5"/>
        <v/>
      </c>
      <c r="F368" s="282"/>
      <c r="G368" s="287"/>
    </row>
    <row r="369" spans="1:7" ht="13">
      <c r="A369" s="272" t="s">
        <v>573</v>
      </c>
      <c r="B369" s="308"/>
      <c r="C369" s="311">
        <v>2100</v>
      </c>
      <c r="D369" s="273"/>
      <c r="E369" s="274" t="str">
        <f t="shared" si="5"/>
        <v/>
      </c>
      <c r="F369" s="282"/>
      <c r="G369" s="287"/>
    </row>
    <row r="370" spans="1:7" ht="13">
      <c r="A370" s="272" t="s">
        <v>433</v>
      </c>
      <c r="B370" s="308">
        <v>0.75</v>
      </c>
      <c r="C370" s="311">
        <v>2330</v>
      </c>
      <c r="D370" s="273"/>
      <c r="E370" s="274" t="str">
        <f t="shared" si="5"/>
        <v/>
      </c>
      <c r="F370" s="282"/>
      <c r="G370" s="287"/>
    </row>
    <row r="371" spans="1:7" ht="13">
      <c r="A371" s="272" t="s">
        <v>434</v>
      </c>
      <c r="B371" s="308">
        <v>0.67</v>
      </c>
      <c r="C371" s="311"/>
      <c r="D371" s="273"/>
      <c r="E371" s="274" t="str">
        <f t="shared" si="5"/>
        <v/>
      </c>
      <c r="F371" s="282"/>
      <c r="G371" s="287"/>
    </row>
    <row r="372" spans="1:7" ht="13">
      <c r="A372" s="272" t="s">
        <v>435</v>
      </c>
      <c r="B372" s="308">
        <v>1.38</v>
      </c>
      <c r="C372" s="311"/>
      <c r="D372" s="273"/>
      <c r="E372" s="274" t="str">
        <f t="shared" si="5"/>
        <v/>
      </c>
      <c r="F372" s="282"/>
      <c r="G372" s="287"/>
    </row>
    <row r="373" spans="1:7" ht="13">
      <c r="A373" s="279" t="s">
        <v>175</v>
      </c>
      <c r="B373" s="308">
        <v>420</v>
      </c>
      <c r="C373" s="311">
        <v>10500</v>
      </c>
      <c r="D373" s="280"/>
      <c r="E373" s="274" t="str">
        <f t="shared" si="5"/>
        <v/>
      </c>
      <c r="F373" s="282"/>
      <c r="G373" s="287"/>
    </row>
    <row r="374" spans="1:7" ht="14">
      <c r="A374" s="272" t="s">
        <v>628</v>
      </c>
      <c r="B374" s="308">
        <v>0.23</v>
      </c>
      <c r="C374" s="311"/>
      <c r="D374" s="273"/>
      <c r="E374" s="274" t="str">
        <f t="shared" si="5"/>
        <v/>
      </c>
      <c r="F374" s="282"/>
      <c r="G374" s="287"/>
    </row>
    <row r="375" spans="1:7" ht="13">
      <c r="A375" s="272" t="s">
        <v>574</v>
      </c>
      <c r="B375" s="308"/>
      <c r="C375" s="311" t="s">
        <v>684</v>
      </c>
      <c r="D375" s="273"/>
      <c r="E375" s="274" t="str">
        <f t="shared" si="5"/>
        <v/>
      </c>
      <c r="F375" s="282"/>
      <c r="G375" s="287"/>
    </row>
    <row r="376" spans="1:7" ht="13">
      <c r="A376" s="302" t="s">
        <v>721</v>
      </c>
      <c r="B376" s="308">
        <v>0.5</v>
      </c>
      <c r="C376" s="311">
        <v>1700</v>
      </c>
      <c r="D376" s="273"/>
      <c r="E376" s="274" t="str">
        <f t="shared" si="5"/>
        <v/>
      </c>
      <c r="F376" s="282"/>
      <c r="G376" s="287"/>
    </row>
    <row r="377" spans="1:7" ht="13">
      <c r="A377" s="279" t="s">
        <v>224</v>
      </c>
      <c r="B377" s="308">
        <v>2.1</v>
      </c>
      <c r="C377" s="311">
        <v>2700</v>
      </c>
      <c r="D377" s="280">
        <v>840</v>
      </c>
      <c r="E377" s="274" t="str">
        <f t="shared" si="5"/>
        <v/>
      </c>
      <c r="F377" s="282"/>
      <c r="G377" s="287"/>
    </row>
    <row r="378" spans="1:7" ht="13">
      <c r="A378" s="272"/>
      <c r="B378" s="308"/>
      <c r="C378" s="311"/>
      <c r="D378" s="273"/>
      <c r="E378" s="274" t="str">
        <f t="shared" si="5"/>
        <v/>
      </c>
      <c r="F378" s="282"/>
      <c r="G378" s="287"/>
    </row>
    <row r="379" spans="1:7" ht="13">
      <c r="A379" s="279" t="s">
        <v>575</v>
      </c>
      <c r="B379" s="308">
        <v>0.15</v>
      </c>
      <c r="C379" s="311">
        <v>100</v>
      </c>
      <c r="D379" s="280"/>
      <c r="E379" s="274" t="str">
        <f t="shared" si="5"/>
        <v/>
      </c>
      <c r="F379" s="282"/>
      <c r="G379" s="287"/>
    </row>
    <row r="380" spans="1:7" ht="13">
      <c r="A380" s="302" t="s">
        <v>778</v>
      </c>
      <c r="B380" s="308">
        <v>0.15</v>
      </c>
      <c r="C380" s="311">
        <v>100</v>
      </c>
      <c r="D380" s="273"/>
      <c r="E380" s="274" t="str">
        <f t="shared" si="5"/>
        <v/>
      </c>
      <c r="F380" s="282"/>
      <c r="G380" s="287"/>
    </row>
    <row r="381" spans="1:7" ht="13">
      <c r="A381" s="302" t="s">
        <v>780</v>
      </c>
      <c r="B381" s="308" t="s">
        <v>782</v>
      </c>
      <c r="C381" s="311">
        <v>500</v>
      </c>
      <c r="D381" s="273"/>
      <c r="E381" s="274" t="str">
        <f t="shared" si="5"/>
        <v/>
      </c>
      <c r="F381" s="282"/>
      <c r="G381" s="287"/>
    </row>
    <row r="382" spans="1:7" ht="13">
      <c r="A382" s="272" t="s">
        <v>576</v>
      </c>
      <c r="B382" s="308"/>
      <c r="C382" s="311" t="s">
        <v>648</v>
      </c>
      <c r="D382" s="273"/>
      <c r="E382" s="274" t="str">
        <f t="shared" si="5"/>
        <v/>
      </c>
      <c r="F382" s="282"/>
      <c r="G382" s="287"/>
    </row>
    <row r="383" spans="1:7" ht="13">
      <c r="A383" s="272" t="s">
        <v>436</v>
      </c>
      <c r="B383" s="308">
        <v>1.26</v>
      </c>
      <c r="C383" s="311">
        <v>980</v>
      </c>
      <c r="D383" s="273"/>
      <c r="E383" s="274" t="str">
        <f t="shared" si="5"/>
        <v/>
      </c>
      <c r="F383" s="282"/>
      <c r="G383" s="287"/>
    </row>
    <row r="384" spans="1:7" ht="13">
      <c r="A384" s="302" t="s">
        <v>752</v>
      </c>
      <c r="B384" s="308">
        <v>0.08</v>
      </c>
      <c r="C384" s="311">
        <v>300</v>
      </c>
      <c r="D384" s="273"/>
      <c r="E384" s="274" t="str">
        <f t="shared" si="5"/>
        <v/>
      </c>
      <c r="F384" s="282"/>
      <c r="G384" s="287"/>
    </row>
    <row r="385" spans="1:7" ht="13">
      <c r="A385" s="302" t="s">
        <v>750</v>
      </c>
      <c r="B385" s="308">
        <v>0.14000000000000001</v>
      </c>
      <c r="C385" s="311">
        <v>550</v>
      </c>
      <c r="D385" s="273"/>
      <c r="E385" s="274" t="str">
        <f t="shared" si="5"/>
        <v/>
      </c>
      <c r="F385" s="282"/>
      <c r="G385" s="287"/>
    </row>
    <row r="386" spans="1:7" ht="13">
      <c r="A386" s="279" t="s">
        <v>265</v>
      </c>
      <c r="B386" s="308">
        <v>0.74</v>
      </c>
      <c r="C386" s="311">
        <v>1900</v>
      </c>
      <c r="D386" s="280">
        <v>880</v>
      </c>
      <c r="E386" s="274" t="str">
        <f t="shared" ref="E386:E436" si="6">IF(A386=A387,"#","")</f>
        <v/>
      </c>
      <c r="F386" s="282"/>
      <c r="G386" s="287"/>
    </row>
    <row r="387" spans="1:7" ht="13">
      <c r="A387" s="302" t="s">
        <v>788</v>
      </c>
      <c r="B387" s="308">
        <v>0.3</v>
      </c>
      <c r="C387" s="311">
        <v>1600</v>
      </c>
      <c r="D387" s="273"/>
      <c r="E387" s="274" t="str">
        <f t="shared" si="6"/>
        <v/>
      </c>
      <c r="F387" s="282"/>
      <c r="G387" s="287"/>
    </row>
    <row r="388" spans="1:7" ht="13">
      <c r="A388" s="279" t="s">
        <v>264</v>
      </c>
      <c r="B388" s="308">
        <v>1.21</v>
      </c>
      <c r="C388" s="311">
        <v>1960</v>
      </c>
      <c r="D388" s="280">
        <v>840</v>
      </c>
      <c r="E388" s="274" t="str">
        <f t="shared" si="6"/>
        <v/>
      </c>
      <c r="F388" s="282"/>
      <c r="G388" s="287"/>
    </row>
    <row r="389" spans="1:7" ht="13">
      <c r="A389" s="272" t="s">
        <v>437</v>
      </c>
      <c r="B389" s="308">
        <v>0.8</v>
      </c>
      <c r="C389" s="311"/>
      <c r="D389" s="273"/>
      <c r="E389" s="274" t="str">
        <f t="shared" si="6"/>
        <v/>
      </c>
      <c r="F389" s="282"/>
      <c r="G389" s="287"/>
    </row>
    <row r="390" spans="1:7" ht="13">
      <c r="A390" s="272" t="s">
        <v>438</v>
      </c>
      <c r="B390" s="308">
        <v>1.48</v>
      </c>
      <c r="C390" s="311"/>
      <c r="D390" s="273"/>
      <c r="E390" s="274" t="str">
        <f t="shared" si="6"/>
        <v/>
      </c>
      <c r="F390" s="282"/>
      <c r="G390" s="287"/>
    </row>
    <row r="391" spans="1:7" ht="13">
      <c r="A391" s="272" t="s">
        <v>577</v>
      </c>
      <c r="B391" s="308"/>
      <c r="C391" s="311" t="s">
        <v>685</v>
      </c>
      <c r="D391" s="273"/>
      <c r="E391" s="274" t="str">
        <f t="shared" si="6"/>
        <v/>
      </c>
      <c r="F391" s="282"/>
      <c r="G391" s="287"/>
    </row>
    <row r="392" spans="1:7" ht="13">
      <c r="A392" s="272" t="s">
        <v>578</v>
      </c>
      <c r="B392" s="308"/>
      <c r="C392" s="311">
        <v>950</v>
      </c>
      <c r="D392" s="273"/>
      <c r="E392" s="274" t="str">
        <f t="shared" si="6"/>
        <v/>
      </c>
      <c r="F392" s="282"/>
      <c r="G392" s="287"/>
    </row>
    <row r="393" spans="1:7" ht="13">
      <c r="A393" s="279" t="s">
        <v>225</v>
      </c>
      <c r="B393" s="308">
        <v>16</v>
      </c>
      <c r="C393" s="311"/>
      <c r="D393" s="280"/>
      <c r="E393" s="274" t="str">
        <f t="shared" si="6"/>
        <v/>
      </c>
      <c r="F393" s="282"/>
      <c r="G393" s="287"/>
    </row>
    <row r="394" spans="1:7" ht="13">
      <c r="A394" s="272" t="s">
        <v>579</v>
      </c>
      <c r="B394" s="308"/>
      <c r="C394" s="311">
        <v>1500</v>
      </c>
      <c r="D394" s="273"/>
      <c r="E394" s="274" t="str">
        <f t="shared" si="6"/>
        <v/>
      </c>
      <c r="F394" s="282"/>
      <c r="G394" s="287"/>
    </row>
    <row r="395" spans="1:7" ht="13">
      <c r="A395" s="272" t="s">
        <v>439</v>
      </c>
      <c r="B395" s="308">
        <v>0.83</v>
      </c>
      <c r="C395" s="311" t="s">
        <v>686</v>
      </c>
      <c r="D395" s="273"/>
      <c r="E395" s="274" t="str">
        <f t="shared" si="6"/>
        <v/>
      </c>
      <c r="F395" s="282"/>
      <c r="G395" s="287"/>
    </row>
    <row r="396" spans="1:7" ht="13">
      <c r="A396" s="283" t="s">
        <v>235</v>
      </c>
      <c r="B396" s="308">
        <v>90</v>
      </c>
      <c r="C396" s="311">
        <v>8000</v>
      </c>
      <c r="D396" s="273"/>
      <c r="E396" s="274" t="str">
        <f t="shared" si="6"/>
        <v/>
      </c>
      <c r="F396" s="282"/>
      <c r="G396" s="287"/>
    </row>
    <row r="397" spans="1:7" ht="13">
      <c r="A397" s="302" t="s">
        <v>691</v>
      </c>
      <c r="B397" s="308">
        <v>52</v>
      </c>
      <c r="C397" s="311">
        <v>7800</v>
      </c>
      <c r="D397" s="313"/>
      <c r="E397" s="274" t="str">
        <f t="shared" si="6"/>
        <v/>
      </c>
      <c r="F397" s="282"/>
      <c r="G397" s="287"/>
    </row>
    <row r="398" spans="1:7" ht="13">
      <c r="A398" s="272" t="s">
        <v>234</v>
      </c>
      <c r="B398" s="308">
        <v>0.84</v>
      </c>
      <c r="C398" s="311"/>
      <c r="D398" s="273"/>
      <c r="E398" s="274" t="str">
        <f t="shared" si="6"/>
        <v/>
      </c>
      <c r="F398" s="282"/>
      <c r="G398" s="287"/>
    </row>
    <row r="399" spans="1:7" ht="13">
      <c r="A399" s="283" t="s">
        <v>605</v>
      </c>
      <c r="B399" s="308">
        <v>1.7</v>
      </c>
      <c r="C399" s="311">
        <v>2500</v>
      </c>
      <c r="D399" s="273"/>
      <c r="E399" s="274" t="str">
        <f t="shared" si="6"/>
        <v/>
      </c>
      <c r="F399" s="282"/>
      <c r="G399" s="287"/>
    </row>
    <row r="400" spans="1:7" ht="13">
      <c r="A400" s="272" t="s">
        <v>440</v>
      </c>
      <c r="B400" s="308">
        <v>0.8</v>
      </c>
      <c r="C400" s="311"/>
      <c r="D400" s="273"/>
      <c r="E400" s="274" t="str">
        <f t="shared" si="6"/>
        <v/>
      </c>
      <c r="F400" s="282"/>
      <c r="G400" s="287"/>
    </row>
    <row r="401" spans="1:5" ht="13">
      <c r="A401" s="279" t="s">
        <v>226</v>
      </c>
      <c r="B401" s="308">
        <v>0.09</v>
      </c>
      <c r="C401" s="311"/>
      <c r="D401" s="280"/>
      <c r="E401" s="274" t="str">
        <f t="shared" si="6"/>
        <v/>
      </c>
    </row>
    <row r="402" spans="1:5" ht="13">
      <c r="A402" s="279" t="s">
        <v>227</v>
      </c>
      <c r="B402" s="308">
        <v>3.3000000000000002E-2</v>
      </c>
      <c r="C402" s="311"/>
      <c r="D402" s="280"/>
      <c r="E402" s="274" t="str">
        <f t="shared" si="6"/>
        <v/>
      </c>
    </row>
    <row r="403" spans="1:5" ht="13">
      <c r="A403" s="272" t="s">
        <v>581</v>
      </c>
      <c r="B403" s="308"/>
      <c r="C403" s="311">
        <v>1600</v>
      </c>
      <c r="D403" s="273"/>
      <c r="E403" s="274" t="str">
        <f t="shared" si="6"/>
        <v/>
      </c>
    </row>
    <row r="404" spans="1:5" ht="13">
      <c r="A404" s="272" t="s">
        <v>580</v>
      </c>
      <c r="B404" s="308"/>
      <c r="C404" s="311">
        <v>2000</v>
      </c>
      <c r="D404" s="273"/>
      <c r="E404" s="274" t="str">
        <f t="shared" si="6"/>
        <v/>
      </c>
    </row>
    <row r="405" spans="1:5" ht="13">
      <c r="A405" s="272" t="s">
        <v>441</v>
      </c>
      <c r="B405" s="308">
        <v>0.71</v>
      </c>
      <c r="C405" s="311"/>
      <c r="D405" s="273"/>
      <c r="E405" s="274" t="str">
        <f t="shared" si="6"/>
        <v/>
      </c>
    </row>
    <row r="406" spans="1:5" ht="13">
      <c r="A406" s="413" t="s">
        <v>845</v>
      </c>
      <c r="B406" s="308">
        <v>0.22</v>
      </c>
      <c r="C406" s="311">
        <v>975</v>
      </c>
      <c r="D406" s="273"/>
      <c r="E406" s="274" t="str">
        <f t="shared" si="6"/>
        <v/>
      </c>
    </row>
    <row r="407" spans="1:5" ht="13">
      <c r="A407" s="272" t="s">
        <v>582</v>
      </c>
      <c r="B407" s="308"/>
      <c r="C407" s="311" t="s">
        <v>637</v>
      </c>
      <c r="D407" s="273"/>
      <c r="E407" s="274" t="str">
        <f t="shared" si="6"/>
        <v/>
      </c>
    </row>
    <row r="408" spans="1:5" ht="13">
      <c r="A408" s="272" t="s">
        <v>583</v>
      </c>
      <c r="B408" s="308"/>
      <c r="C408" s="311">
        <v>950</v>
      </c>
      <c r="D408" s="273"/>
      <c r="E408" s="274" t="str">
        <f t="shared" si="6"/>
        <v/>
      </c>
    </row>
    <row r="409" spans="1:5" ht="13">
      <c r="A409" s="272" t="s">
        <v>584</v>
      </c>
      <c r="B409" s="308"/>
      <c r="C409" s="311">
        <v>950</v>
      </c>
      <c r="D409" s="273"/>
      <c r="E409" s="274" t="str">
        <f t="shared" si="6"/>
        <v/>
      </c>
    </row>
    <row r="410" spans="1:5" ht="13">
      <c r="A410" s="272" t="s">
        <v>442</v>
      </c>
      <c r="B410" s="308">
        <v>0.13800000000000001</v>
      </c>
      <c r="C410" s="311"/>
      <c r="D410" s="273"/>
      <c r="E410" s="274" t="str">
        <f t="shared" si="6"/>
        <v/>
      </c>
    </row>
    <row r="411" spans="1:5" ht="13">
      <c r="A411" s="272" t="s">
        <v>585</v>
      </c>
      <c r="B411" s="308"/>
      <c r="C411" s="311">
        <v>16600</v>
      </c>
      <c r="D411" s="273"/>
      <c r="E411" s="274" t="str">
        <f t="shared" si="6"/>
        <v/>
      </c>
    </row>
    <row r="412" spans="1:5" ht="13">
      <c r="A412" s="272" t="s">
        <v>443</v>
      </c>
      <c r="B412" s="308">
        <v>1.47</v>
      </c>
      <c r="C412" s="311">
        <v>1050</v>
      </c>
      <c r="D412" s="273"/>
      <c r="E412" s="274" t="str">
        <f t="shared" si="6"/>
        <v/>
      </c>
    </row>
    <row r="413" spans="1:5" ht="13">
      <c r="A413" s="272" t="s">
        <v>444</v>
      </c>
      <c r="B413" s="308">
        <v>0.21</v>
      </c>
      <c r="C413" s="311">
        <v>6250</v>
      </c>
      <c r="D413" s="273"/>
      <c r="E413" s="274" t="str">
        <f t="shared" si="6"/>
        <v/>
      </c>
    </row>
    <row r="414" spans="1:5" ht="13">
      <c r="A414" s="272" t="s">
        <v>445</v>
      </c>
      <c r="B414" s="308">
        <v>0.14000000000000001</v>
      </c>
      <c r="C414" s="311">
        <v>12000</v>
      </c>
      <c r="D414" s="273"/>
      <c r="E414" s="274" t="str">
        <f t="shared" si="6"/>
        <v/>
      </c>
    </row>
    <row r="415" spans="1:5" ht="13">
      <c r="A415" s="272" t="s">
        <v>446</v>
      </c>
      <c r="B415" s="308">
        <v>0.63</v>
      </c>
      <c r="C415" s="311"/>
      <c r="D415" s="273"/>
      <c r="E415" s="274" t="str">
        <f t="shared" si="6"/>
        <v/>
      </c>
    </row>
    <row r="416" spans="1:5" ht="13">
      <c r="A416" s="302" t="s">
        <v>735</v>
      </c>
      <c r="B416" s="308">
        <v>1.2</v>
      </c>
      <c r="C416" s="311">
        <v>2000</v>
      </c>
      <c r="D416" s="273"/>
      <c r="E416" s="274" t="str">
        <f t="shared" si="6"/>
        <v/>
      </c>
    </row>
    <row r="417" spans="1:5" ht="13">
      <c r="A417" s="279" t="s">
        <v>261</v>
      </c>
      <c r="B417" s="308">
        <v>0.85</v>
      </c>
      <c r="C417" s="311">
        <v>1900</v>
      </c>
      <c r="D417" s="280">
        <v>840</v>
      </c>
      <c r="E417" s="274" t="str">
        <f t="shared" si="6"/>
        <v/>
      </c>
    </row>
    <row r="418" spans="1:5" ht="13">
      <c r="A418" s="279" t="s">
        <v>228</v>
      </c>
      <c r="B418" s="308">
        <v>0.14000000000000001</v>
      </c>
      <c r="C418" s="311"/>
      <c r="D418" s="280"/>
      <c r="E418" s="274" t="str">
        <f t="shared" si="6"/>
        <v/>
      </c>
    </row>
    <row r="419" spans="1:5" ht="13">
      <c r="A419" s="283" t="s">
        <v>252</v>
      </c>
      <c r="B419" s="308">
        <v>67</v>
      </c>
      <c r="C419" s="311">
        <v>7000</v>
      </c>
      <c r="D419" s="273"/>
      <c r="E419" s="274" t="str">
        <f t="shared" si="6"/>
        <v/>
      </c>
    </row>
    <row r="420" spans="1:5" ht="13">
      <c r="A420" s="272" t="s">
        <v>447</v>
      </c>
      <c r="B420" s="308">
        <v>0.47</v>
      </c>
      <c r="C420" s="311">
        <v>5000</v>
      </c>
      <c r="D420" s="273"/>
      <c r="E420" s="274" t="str">
        <f t="shared" si="6"/>
        <v/>
      </c>
    </row>
    <row r="421" spans="1:5" ht="13">
      <c r="A421" s="272" t="s">
        <v>448</v>
      </c>
      <c r="B421" s="308">
        <v>0.88</v>
      </c>
      <c r="C421" s="311">
        <v>3600</v>
      </c>
      <c r="D421" s="273"/>
      <c r="E421" s="274" t="str">
        <f t="shared" si="6"/>
        <v/>
      </c>
    </row>
    <row r="422" spans="1:5" ht="13">
      <c r="A422" s="272" t="s">
        <v>586</v>
      </c>
      <c r="B422" s="308"/>
      <c r="C422" s="311" t="s">
        <v>687</v>
      </c>
      <c r="D422" s="273"/>
      <c r="E422" s="274" t="str">
        <f t="shared" si="6"/>
        <v/>
      </c>
    </row>
    <row r="423" spans="1:5" ht="13">
      <c r="A423" s="272" t="s">
        <v>449</v>
      </c>
      <c r="B423" s="308">
        <v>0.13400000000000001</v>
      </c>
      <c r="C423" s="311">
        <v>19.2</v>
      </c>
      <c r="D423" s="273"/>
      <c r="E423" s="274" t="str">
        <f t="shared" si="6"/>
        <v/>
      </c>
    </row>
    <row r="424" spans="1:5" ht="13">
      <c r="A424" s="413"/>
      <c r="B424" s="308"/>
      <c r="C424" s="311"/>
      <c r="D424" s="273"/>
      <c r="E424" s="274" t="str">
        <f t="shared" si="6"/>
        <v/>
      </c>
    </row>
    <row r="425" spans="1:5" ht="13">
      <c r="A425" s="302" t="s">
        <v>803</v>
      </c>
      <c r="B425" s="414">
        <v>5.8000000000000003E-2</v>
      </c>
      <c r="C425" s="415">
        <v>240</v>
      </c>
      <c r="D425" s="273"/>
      <c r="E425" s="274" t="str">
        <f t="shared" si="6"/>
        <v/>
      </c>
    </row>
    <row r="426" spans="1:5" ht="13">
      <c r="A426" s="413" t="s">
        <v>804</v>
      </c>
      <c r="B426" s="308">
        <v>8.6999999999999994E-2</v>
      </c>
      <c r="C426" s="311">
        <v>500</v>
      </c>
      <c r="D426" s="273"/>
      <c r="E426" s="274" t="str">
        <f t="shared" si="6"/>
        <v/>
      </c>
    </row>
    <row r="427" spans="1:5" ht="13">
      <c r="A427" s="272" t="s">
        <v>450</v>
      </c>
      <c r="B427" s="308">
        <v>0.11700000000000001</v>
      </c>
      <c r="C427" s="311">
        <v>19.100000000000001</v>
      </c>
      <c r="D427" s="273"/>
      <c r="E427" s="274" t="str">
        <f t="shared" si="6"/>
        <v/>
      </c>
    </row>
    <row r="428" spans="1:5" ht="13">
      <c r="A428" s="272" t="s">
        <v>587</v>
      </c>
      <c r="B428" s="308"/>
      <c r="C428" s="311">
        <v>80</v>
      </c>
      <c r="D428" s="273"/>
      <c r="E428" s="274" t="str">
        <f t="shared" si="6"/>
        <v/>
      </c>
    </row>
    <row r="429" spans="1:5" ht="13">
      <c r="A429" s="279"/>
      <c r="B429" s="308"/>
      <c r="C429" s="311"/>
      <c r="D429" s="280"/>
      <c r="E429" s="274" t="str">
        <f t="shared" si="6"/>
        <v/>
      </c>
    </row>
    <row r="430" spans="1:5" ht="13">
      <c r="A430" s="272" t="s">
        <v>451</v>
      </c>
      <c r="B430" s="308">
        <v>0.5</v>
      </c>
      <c r="C430" s="311">
        <v>6100</v>
      </c>
      <c r="D430" s="273"/>
      <c r="E430" s="274" t="str">
        <f t="shared" si="6"/>
        <v/>
      </c>
    </row>
    <row r="431" spans="1:5" ht="13">
      <c r="A431" s="279" t="s">
        <v>230</v>
      </c>
      <c r="B431" s="308">
        <v>5.8000000000000003E-2</v>
      </c>
      <c r="C431" s="311">
        <v>110</v>
      </c>
      <c r="D431" s="280"/>
      <c r="E431" s="274" t="str">
        <f t="shared" si="6"/>
        <v/>
      </c>
    </row>
    <row r="432" spans="1:5" ht="13">
      <c r="A432" s="272" t="s">
        <v>452</v>
      </c>
      <c r="B432" s="308">
        <v>1.38</v>
      </c>
      <c r="C432" s="311"/>
      <c r="D432" s="273"/>
      <c r="E432" s="274" t="str">
        <f t="shared" si="6"/>
        <v/>
      </c>
    </row>
    <row r="433" spans="1:5" ht="13">
      <c r="A433" s="279" t="s">
        <v>231</v>
      </c>
      <c r="B433" s="308">
        <v>0.57999999999999996</v>
      </c>
      <c r="C433" s="311">
        <v>1000</v>
      </c>
      <c r="D433" s="280"/>
      <c r="E433" s="274" t="str">
        <f t="shared" si="6"/>
        <v/>
      </c>
    </row>
    <row r="434" spans="1:5" ht="13">
      <c r="A434" s="272" t="s">
        <v>453</v>
      </c>
      <c r="B434" s="308">
        <v>3.43</v>
      </c>
      <c r="C434" s="311"/>
      <c r="D434" s="273"/>
      <c r="E434" s="274" t="str">
        <f t="shared" si="6"/>
        <v/>
      </c>
    </row>
    <row r="435" spans="1:5" ht="13">
      <c r="A435" s="272" t="s">
        <v>588</v>
      </c>
      <c r="B435" s="308"/>
      <c r="C435" s="311">
        <v>1800</v>
      </c>
      <c r="D435" s="273"/>
      <c r="E435" s="274" t="str">
        <f t="shared" si="6"/>
        <v/>
      </c>
    </row>
    <row r="436" spans="1:5" ht="13">
      <c r="A436" s="272" t="s">
        <v>454</v>
      </c>
      <c r="B436" s="308">
        <v>0.51500000000000001</v>
      </c>
      <c r="C436" s="311"/>
      <c r="D436" s="273"/>
      <c r="E436" s="274" t="str">
        <f t="shared" si="6"/>
        <v/>
      </c>
    </row>
    <row r="437" spans="1:5" ht="13">
      <c r="A437" s="272" t="s">
        <v>455</v>
      </c>
      <c r="B437" s="308">
        <v>0.14699999999999999</v>
      </c>
      <c r="C437" s="311" t="s">
        <v>688</v>
      </c>
      <c r="D437" s="273"/>
      <c r="E437" s="274" t="str">
        <f>IF(A437=A438,"#","")</f>
        <v/>
      </c>
    </row>
    <row r="438" spans="1:5" ht="13">
      <c r="A438" s="279" t="s">
        <v>237</v>
      </c>
      <c r="B438" s="308">
        <v>0.14699999999999999</v>
      </c>
      <c r="C438" s="311"/>
      <c r="D438" s="280"/>
      <c r="E438" s="274" t="str">
        <f>IF(A438=A439,"#","")</f>
        <v/>
      </c>
    </row>
    <row r="439" spans="1:5" ht="13">
      <c r="A439" s="302" t="s">
        <v>756</v>
      </c>
      <c r="B439" s="308" t="s">
        <v>758</v>
      </c>
      <c r="C439" s="311" t="s">
        <v>757</v>
      </c>
      <c r="D439" s="273"/>
      <c r="E439" s="274"/>
    </row>
    <row r="440" spans="1:5" ht="13">
      <c r="A440" s="272" t="s">
        <v>853</v>
      </c>
      <c r="B440" s="308">
        <v>4.3999999999999997E-2</v>
      </c>
      <c r="C440" s="311">
        <v>600</v>
      </c>
      <c r="D440" s="273"/>
      <c r="E440" s="274"/>
    </row>
    <row r="441" spans="1:5" ht="13">
      <c r="A441" s="272" t="s">
        <v>456</v>
      </c>
      <c r="B441" s="308">
        <v>2.9</v>
      </c>
      <c r="C441" s="311"/>
      <c r="D441" s="273"/>
      <c r="E441" s="274"/>
    </row>
    <row r="442" spans="1:5">
      <c r="A442" s="279" t="s">
        <v>232</v>
      </c>
      <c r="B442" s="308">
        <v>0.17</v>
      </c>
      <c r="C442" s="311"/>
      <c r="D442" s="280"/>
      <c r="E442" s="274"/>
    </row>
    <row r="443" spans="1:5" ht="13">
      <c r="A443" s="302" t="s">
        <v>785</v>
      </c>
      <c r="B443" s="308">
        <v>0.8</v>
      </c>
      <c r="C443" s="311">
        <v>1450</v>
      </c>
      <c r="D443" s="273"/>
      <c r="E443" s="274"/>
    </row>
    <row r="444" spans="1:5" ht="13">
      <c r="A444" s="302" t="s">
        <v>796</v>
      </c>
      <c r="B444" s="308">
        <v>7.0000000000000007E-2</v>
      </c>
      <c r="C444" s="311">
        <v>400</v>
      </c>
      <c r="D444" s="273"/>
      <c r="E444" s="274"/>
    </row>
    <row r="445" spans="1:5" ht="13">
      <c r="A445" s="272" t="s">
        <v>458</v>
      </c>
      <c r="B445" s="308">
        <v>1.38</v>
      </c>
      <c r="C445" s="311"/>
      <c r="D445" s="273"/>
    </row>
    <row r="446" spans="1:5" ht="13">
      <c r="A446" s="272" t="s">
        <v>457</v>
      </c>
      <c r="B446" s="308">
        <v>1.26</v>
      </c>
      <c r="C446" s="311"/>
      <c r="D446" s="273"/>
    </row>
    <row r="447" spans="1:5" ht="13">
      <c r="A447" s="302" t="s">
        <v>459</v>
      </c>
      <c r="B447" s="308">
        <v>110</v>
      </c>
      <c r="C447" s="311">
        <v>7200</v>
      </c>
      <c r="D447" s="313"/>
    </row>
    <row r="448" spans="1:5">
      <c r="A448" s="279" t="s">
        <v>229</v>
      </c>
      <c r="B448" s="308">
        <v>116</v>
      </c>
      <c r="C448" s="311"/>
      <c r="D448" s="280"/>
    </row>
    <row r="449" spans="1:4">
      <c r="A449" s="413"/>
      <c r="B449" s="308"/>
      <c r="C449" s="311"/>
      <c r="D449" s="273"/>
    </row>
    <row r="450" spans="1:4">
      <c r="A450" s="413"/>
      <c r="B450" s="308"/>
      <c r="C450" s="311"/>
      <c r="D450" s="273"/>
    </row>
    <row r="451" spans="1:4">
      <c r="A451" s="413"/>
      <c r="B451" s="308"/>
      <c r="C451" s="311"/>
      <c r="D451" s="273"/>
    </row>
    <row r="452" spans="1:4">
      <c r="A452" s="413"/>
      <c r="B452" s="308"/>
      <c r="C452" s="311"/>
      <c r="D452" s="273"/>
    </row>
    <row r="453" spans="1:4">
      <c r="A453" s="413"/>
      <c r="B453" s="308"/>
      <c r="C453" s="311"/>
      <c r="D453" s="273"/>
    </row>
    <row r="454" spans="1:4">
      <c r="A454" s="413"/>
      <c r="B454" s="308"/>
      <c r="C454" s="311"/>
      <c r="D454" s="273"/>
    </row>
    <row r="455" spans="1:4">
      <c r="A455" s="413"/>
      <c r="B455" s="308"/>
      <c r="C455" s="311"/>
      <c r="D455" s="273"/>
    </row>
    <row r="456" spans="1:4">
      <c r="A456" s="413"/>
      <c r="B456" s="308"/>
      <c r="C456" s="311"/>
      <c r="D456" s="273"/>
    </row>
    <row r="457" spans="1:4">
      <c r="A457" s="413"/>
      <c r="B457" s="308"/>
      <c r="C457" s="311"/>
      <c r="D457" s="273"/>
    </row>
    <row r="458" spans="1:4">
      <c r="A458" s="413"/>
      <c r="B458" s="308"/>
      <c r="C458" s="311"/>
      <c r="D458" s="273"/>
    </row>
    <row r="459" spans="1:4">
      <c r="A459" s="413"/>
      <c r="B459" s="308"/>
      <c r="C459" s="311"/>
      <c r="D459" s="273"/>
    </row>
    <row r="460" spans="1:4">
      <c r="A460" s="413"/>
      <c r="B460" s="308"/>
      <c r="C460" s="311"/>
      <c r="D460" s="273"/>
    </row>
    <row r="461" spans="1:4">
      <c r="A461" s="413"/>
      <c r="B461" s="308"/>
      <c r="C461" s="311"/>
      <c r="D461" s="273"/>
    </row>
    <row r="462" spans="1:4">
      <c r="A462" s="413"/>
      <c r="B462" s="308"/>
      <c r="C462" s="311"/>
      <c r="D462" s="273"/>
    </row>
    <row r="463" spans="1:4">
      <c r="A463" s="413"/>
      <c r="B463" s="308"/>
      <c r="C463" s="311"/>
      <c r="D463" s="273"/>
    </row>
    <row r="464" spans="1:4">
      <c r="A464" s="413"/>
      <c r="B464" s="308"/>
      <c r="C464" s="311"/>
      <c r="D464" s="273"/>
    </row>
    <row r="465" spans="1:4">
      <c r="A465" s="413"/>
      <c r="B465" s="308"/>
      <c r="C465" s="311"/>
      <c r="D465" s="273"/>
    </row>
    <row r="466" spans="1:4">
      <c r="A466" s="413"/>
      <c r="B466" s="308"/>
      <c r="C466" s="311"/>
      <c r="D466" s="273"/>
    </row>
    <row r="467" spans="1:4">
      <c r="A467" s="413"/>
      <c r="B467" s="308"/>
      <c r="C467" s="311"/>
      <c r="D467" s="273"/>
    </row>
    <row r="468" spans="1:4">
      <c r="A468" s="413"/>
      <c r="B468" s="308"/>
      <c r="C468" s="311"/>
      <c r="D468" s="273"/>
    </row>
  </sheetData>
  <autoFilter ref="A1:D1" xr:uid="{00000000-0009-0000-0000-00000A000000}">
    <sortState ref="A2:D448">
      <sortCondition ref="A1:A448"/>
    </sortState>
  </autoFilter>
  <sortState ref="A2:D511">
    <sortCondition ref="A2:A625"/>
  </sortState>
  <conditionalFormatting sqref="B1:B1048576">
    <cfRule type="cellIs" dxfId="1" priority="1" operator="equal">
      <formula>""</formula>
    </cfRule>
    <cfRule type="cellIs" dxfId="0" priority="2" operator="lessThan">
      <formula>0.06</formula>
    </cfRule>
  </conditionalFormatting>
  <pageMargins left="0.70866141732283472" right="0.70866141732283472" top="0.74803149606299213" bottom="0.74803149606299213" header="0.31496062992125984" footer="0.31496062992125984"/>
  <pageSetup paperSize="9" scale="1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Losses</vt:lpstr>
      <vt:lpstr>U Value</vt:lpstr>
      <vt:lpstr>Building Regs</vt:lpstr>
      <vt:lpstr>Properties</vt:lpstr>
      <vt:lpstr>Materials</vt:lpstr>
      <vt:lpstr>Conductivity</vt:lpstr>
      <vt:lpstr>Losses!Print_Area</vt:lpstr>
      <vt:lpstr>'U Value'!Print_Area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Smith</dc:creator>
  <cp:lastModifiedBy>DKS</cp:lastModifiedBy>
  <cp:lastPrinted>2018-12-13T13:03:12Z</cp:lastPrinted>
  <dcterms:created xsi:type="dcterms:W3CDTF">1996-10-14T23:33:28Z</dcterms:created>
  <dcterms:modified xsi:type="dcterms:W3CDTF">2019-11-18T13:45:11Z</dcterms:modified>
</cp:coreProperties>
</file>